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450" windowWidth="15315" windowHeight="8100"/>
  </bookViews>
  <sheets>
    <sheet name="dod9" sheetId="4" r:id="rId1"/>
    <sheet name="кпквк" sheetId="3" r:id="rId2"/>
  </sheets>
  <definedNames>
    <definedName name="_xlnm.Print_Titles" localSheetId="0">'dod9'!$4:$4</definedName>
    <definedName name="_xlnm.Print_Titles" localSheetId="1">кпквк!$4:$4</definedName>
  </definedNames>
  <calcPr calcId="145621"/>
</workbook>
</file>

<file path=xl/calcChain.xml><?xml version="1.0" encoding="utf-8"?>
<calcChain xmlns="http://schemas.openxmlformats.org/spreadsheetml/2006/main">
  <c r="H6" i="4" l="1"/>
  <c r="I6" i="4"/>
  <c r="J6" i="4"/>
  <c r="J5" i="4" s="1"/>
  <c r="K6" i="4"/>
  <c r="L6" i="4"/>
  <c r="N6" i="4"/>
  <c r="G7" i="4"/>
  <c r="H7" i="4"/>
  <c r="I7" i="4"/>
  <c r="J7" i="4"/>
  <c r="K7" i="4" s="1"/>
  <c r="N7" i="4"/>
  <c r="I8" i="4"/>
  <c r="G9" i="4"/>
  <c r="H9" i="4"/>
  <c r="I9" i="4"/>
  <c r="J9" i="4"/>
  <c r="K9" i="4" s="1"/>
  <c r="N9" i="4"/>
  <c r="G10" i="4"/>
  <c r="H10" i="4" s="1"/>
  <c r="J10" i="4"/>
  <c r="L10" i="4" s="1"/>
  <c r="K10" i="4"/>
  <c r="M10" i="4" s="1"/>
  <c r="M5" i="4" s="1"/>
  <c r="G11" i="4"/>
  <c r="H11" i="4" s="1"/>
  <c r="J11" i="4"/>
  <c r="L11" i="4" s="1"/>
  <c r="K11" i="4"/>
  <c r="G12" i="4"/>
  <c r="I12" i="4" s="1"/>
  <c r="H12" i="4"/>
  <c r="J12" i="4"/>
  <c r="K12" i="4"/>
  <c r="M12" i="4" s="1"/>
  <c r="L12" i="4"/>
  <c r="G13" i="4"/>
  <c r="I13" i="4" s="1"/>
  <c r="H13" i="4"/>
  <c r="J13" i="4"/>
  <c r="K13" i="4"/>
  <c r="L13" i="4"/>
  <c r="G14" i="4"/>
  <c r="H14" i="4"/>
  <c r="I14" i="4"/>
  <c r="J14" i="4"/>
  <c r="K14" i="4"/>
  <c r="L14" i="4"/>
  <c r="G15" i="4"/>
  <c r="H15" i="4" s="1"/>
  <c r="J15" i="4"/>
  <c r="L15" i="4" s="1"/>
  <c r="K15" i="4"/>
  <c r="M15" i="4" s="1"/>
  <c r="H16" i="4"/>
  <c r="I16" i="4"/>
  <c r="G17" i="4"/>
  <c r="N16" i="4" s="1"/>
  <c r="H17" i="4"/>
  <c r="I17" i="4"/>
  <c r="K17" i="4"/>
  <c r="M17" i="4"/>
  <c r="M18" i="4"/>
  <c r="H19" i="4"/>
  <c r="I19" i="4"/>
  <c r="J19" i="4"/>
  <c r="J18" i="4" s="1"/>
  <c r="K19" i="4"/>
  <c r="H21" i="4"/>
  <c r="H18" i="4" s="1"/>
  <c r="I21" i="4"/>
  <c r="J21" i="4"/>
  <c r="K21" i="4" s="1"/>
  <c r="L21" i="4"/>
  <c r="N21" i="4"/>
  <c r="H22" i="4"/>
  <c r="I22" i="4"/>
  <c r="J22" i="4"/>
  <c r="K22" i="4" s="1"/>
  <c r="N22" i="4"/>
  <c r="G23" i="4"/>
  <c r="H23" i="4"/>
  <c r="I23" i="4"/>
  <c r="J23" i="4"/>
  <c r="K23" i="4" s="1"/>
  <c r="M23" i="4"/>
  <c r="H24" i="4"/>
  <c r="I24" i="4"/>
  <c r="K24" i="4"/>
  <c r="H25" i="4"/>
  <c r="I25" i="4"/>
  <c r="K25" i="4"/>
  <c r="H26" i="4"/>
  <c r="I26" i="4"/>
  <c r="I27" i="4"/>
  <c r="J27" i="4"/>
  <c r="K27" i="4"/>
  <c r="L27" i="4"/>
  <c r="N27" i="4"/>
  <c r="M28" i="4"/>
  <c r="H29" i="4"/>
  <c r="I29" i="4"/>
  <c r="J29" i="4"/>
  <c r="K29" i="4"/>
  <c r="L29" i="4"/>
  <c r="I30" i="4"/>
  <c r="I28" i="4" s="1"/>
  <c r="J30" i="4"/>
  <c r="K30" i="4"/>
  <c r="L30" i="4"/>
  <c r="H31" i="4"/>
  <c r="I31" i="4"/>
  <c r="J31" i="4"/>
  <c r="J28" i="4" s="1"/>
  <c r="L31" i="4"/>
  <c r="H32" i="4"/>
  <c r="I32" i="4"/>
  <c r="J32" i="4"/>
  <c r="K32" i="4"/>
  <c r="M32" i="4"/>
  <c r="G33" i="4"/>
  <c r="N23" i="4" s="1"/>
  <c r="I33" i="4"/>
  <c r="J33" i="4"/>
  <c r="K33" i="4"/>
  <c r="M33" i="4"/>
  <c r="H34" i="4"/>
  <c r="I34" i="4"/>
  <c r="K34" i="4"/>
  <c r="N34" i="4"/>
  <c r="H35" i="4"/>
  <c r="I35" i="4"/>
  <c r="J35" i="4"/>
  <c r="K35" i="4" s="1"/>
  <c r="L35" i="4"/>
  <c r="H36" i="4"/>
  <c r="I36" i="4"/>
  <c r="K36" i="4"/>
  <c r="N36" i="4"/>
  <c r="H37" i="4"/>
  <c r="I37" i="4"/>
  <c r="K37" i="4"/>
  <c r="H38" i="4"/>
  <c r="I38" i="4"/>
  <c r="K38" i="4"/>
  <c r="N38" i="4"/>
  <c r="H39" i="4"/>
  <c r="I39" i="4"/>
  <c r="J39" i="4"/>
  <c r="K39" i="4" s="1"/>
  <c r="L39" i="4"/>
  <c r="N39" i="4"/>
  <c r="I40" i="4"/>
  <c r="I41" i="4"/>
  <c r="K41" i="4"/>
  <c r="I42" i="4"/>
  <c r="H43" i="4"/>
  <c r="I43" i="4"/>
  <c r="J43" i="4"/>
  <c r="L43" i="4" s="1"/>
  <c r="N43" i="4"/>
  <c r="I44" i="4"/>
  <c r="J44" i="4"/>
  <c r="K44" i="4" s="1"/>
  <c r="H45" i="4"/>
  <c r="I45" i="4"/>
  <c r="J45" i="4"/>
  <c r="K45" i="4"/>
  <c r="L45" i="4"/>
  <c r="H46" i="4"/>
  <c r="M46" i="4"/>
  <c r="H47" i="4"/>
  <c r="I47" i="4"/>
  <c r="I46" i="4" s="1"/>
  <c r="J47" i="4"/>
  <c r="K47" i="4" s="1"/>
  <c r="N47" i="4"/>
  <c r="I48" i="4"/>
  <c r="J48" i="4"/>
  <c r="K48" i="4"/>
  <c r="L48" i="4"/>
  <c r="N48" i="4"/>
  <c r="H49" i="4"/>
  <c r="I49" i="4"/>
  <c r="J49" i="4"/>
  <c r="L49" i="4" s="1"/>
  <c r="K49" i="4"/>
  <c r="I50" i="4"/>
  <c r="J50" i="4"/>
  <c r="L50" i="4" s="1"/>
  <c r="K50" i="4"/>
  <c r="N50" i="4"/>
  <c r="H51" i="4"/>
  <c r="I51" i="4"/>
  <c r="J51" i="4"/>
  <c r="K51" i="4"/>
  <c r="L51" i="4"/>
  <c r="N51" i="4"/>
  <c r="I52" i="4"/>
  <c r="J52" i="4"/>
  <c r="K52" i="4" s="1"/>
  <c r="L52" i="4"/>
  <c r="I54" i="4"/>
  <c r="I53" i="4" s="1"/>
  <c r="N54" i="4"/>
  <c r="I55" i="4"/>
  <c r="N55" i="4"/>
  <c r="I56" i="4"/>
  <c r="N56" i="4"/>
  <c r="H58" i="4"/>
  <c r="I58" i="4"/>
  <c r="J58" i="4"/>
  <c r="K58" i="4" s="1"/>
  <c r="L58" i="4"/>
  <c r="P58" i="4"/>
  <c r="G59" i="4"/>
  <c r="O59" i="4"/>
  <c r="P59" i="4"/>
  <c r="M60" i="4"/>
  <c r="K5" i="4" l="1"/>
  <c r="K18" i="4"/>
  <c r="K46" i="4"/>
  <c r="I18" i="4"/>
  <c r="H5" i="4"/>
  <c r="H33" i="4"/>
  <c r="H28" i="4" s="1"/>
  <c r="K31" i="4"/>
  <c r="K28" i="4" s="1"/>
  <c r="N10" i="4"/>
  <c r="I15" i="4"/>
  <c r="N12" i="4"/>
  <c r="N61" i="4" s="1"/>
  <c r="N11" i="4"/>
  <c r="I11" i="4"/>
  <c r="I10" i="4"/>
  <c r="I5" i="4" s="1"/>
  <c r="I59" i="4" s="1"/>
  <c r="L9" i="4"/>
  <c r="L7" i="4"/>
  <c r="L5" i="4" s="1"/>
  <c r="L47" i="4"/>
  <c r="L46" i="4" s="1"/>
  <c r="J46" i="4"/>
  <c r="L44" i="4"/>
  <c r="L28" i="4" s="1"/>
  <c r="L19" i="4"/>
  <c r="L18" i="4" s="1"/>
  <c r="N13" i="4"/>
  <c r="R78" i="3"/>
  <c r="Q78" i="3"/>
  <c r="O31" i="3" l="1"/>
  <c r="O17" i="3"/>
  <c r="O34" i="3"/>
  <c r="R76" i="3"/>
  <c r="Q76" i="3"/>
  <c r="P76" i="3"/>
  <c r="O76" i="3" l="1"/>
  <c r="F46" i="4" l="1"/>
  <c r="F28" i="4"/>
  <c r="F18" i="4"/>
  <c r="F12" i="4"/>
  <c r="F10" i="4"/>
  <c r="F9" i="4"/>
  <c r="F59" i="4" l="1"/>
  <c r="F5" i="4"/>
  <c r="O10" i="3" l="1"/>
  <c r="N64" i="3"/>
  <c r="N46" i="3"/>
  <c r="N36" i="3"/>
  <c r="O32" i="3"/>
  <c r="O30" i="3"/>
  <c r="O19" i="3"/>
  <c r="O18" i="3"/>
  <c r="O20" i="3"/>
  <c r="O16" i="3"/>
  <c r="O13" i="3"/>
  <c r="L74" i="3"/>
  <c r="J74" i="3"/>
  <c r="K74" i="3" s="1"/>
  <c r="H74" i="3"/>
  <c r="L72" i="3"/>
  <c r="J72" i="3"/>
  <c r="K72" i="3" s="1"/>
  <c r="H72" i="3"/>
  <c r="J70" i="3"/>
  <c r="K70" i="3" s="1"/>
  <c r="J32" i="3"/>
  <c r="L32" i="3" s="1"/>
  <c r="H32" i="3"/>
  <c r="J30" i="3"/>
  <c r="L30" i="3" s="1"/>
  <c r="J67" i="3"/>
  <c r="L67" i="3" s="1"/>
  <c r="H67" i="3"/>
  <c r="J19" i="3"/>
  <c r="L19" i="3" s="1"/>
  <c r="J18" i="3"/>
  <c r="L18" i="3" s="1"/>
  <c r="H18" i="3"/>
  <c r="M64" i="3"/>
  <c r="G64" i="3"/>
  <c r="F64" i="3"/>
  <c r="L63" i="3"/>
  <c r="J63" i="3"/>
  <c r="K63" i="3" s="1"/>
  <c r="H63" i="3"/>
  <c r="J62" i="3"/>
  <c r="K62" i="3" s="1"/>
  <c r="J40" i="3"/>
  <c r="L40" i="3" s="1"/>
  <c r="H40" i="3"/>
  <c r="J60" i="3"/>
  <c r="K60" i="3" s="1"/>
  <c r="H60" i="3"/>
  <c r="L59" i="3"/>
  <c r="J59" i="3"/>
  <c r="K59" i="3" s="1"/>
  <c r="J58" i="3"/>
  <c r="J29" i="3"/>
  <c r="K29" i="3" s="1"/>
  <c r="H29" i="3"/>
  <c r="J31" i="3"/>
  <c r="K31" i="3" s="1"/>
  <c r="H31" i="3"/>
  <c r="J55" i="3"/>
  <c r="K55" i="3" s="1"/>
  <c r="H55" i="3"/>
  <c r="J54" i="3"/>
  <c r="K54" i="3" s="1"/>
  <c r="H54" i="3"/>
  <c r="L53" i="3"/>
  <c r="J53" i="3"/>
  <c r="K53" i="3" s="1"/>
  <c r="H53" i="3"/>
  <c r="J20" i="3"/>
  <c r="K20" i="3" s="1"/>
  <c r="H20" i="3"/>
  <c r="M51" i="3"/>
  <c r="J51" i="3"/>
  <c r="K51" i="3" s="1"/>
  <c r="H51" i="3"/>
  <c r="M50" i="3"/>
  <c r="J50" i="3"/>
  <c r="K50" i="3" s="1"/>
  <c r="H50" i="3"/>
  <c r="J49" i="3"/>
  <c r="K49" i="3" s="1"/>
  <c r="H49" i="3"/>
  <c r="J48" i="3"/>
  <c r="K48" i="3" s="1"/>
  <c r="J47" i="3"/>
  <c r="L47" i="3" s="1"/>
  <c r="H47" i="3"/>
  <c r="G46" i="3"/>
  <c r="F46" i="3"/>
  <c r="J45" i="3"/>
  <c r="K45" i="3" s="1"/>
  <c r="J44" i="3"/>
  <c r="L44" i="3" s="1"/>
  <c r="H44" i="3"/>
  <c r="J43" i="3"/>
  <c r="L43" i="3" s="1"/>
  <c r="H43" i="3"/>
  <c r="M17" i="3"/>
  <c r="M36" i="3" s="1"/>
  <c r="J17" i="3"/>
  <c r="K17" i="3" s="1"/>
  <c r="H17" i="3"/>
  <c r="J16" i="3"/>
  <c r="K16" i="3" s="1"/>
  <c r="H16" i="3"/>
  <c r="L13" i="3"/>
  <c r="J13" i="3"/>
  <c r="K13" i="3" s="1"/>
  <c r="H13" i="3"/>
  <c r="L38" i="3"/>
  <c r="J38" i="3"/>
  <c r="J37" i="3"/>
  <c r="K37" i="3" s="1"/>
  <c r="H37" i="3"/>
  <c r="G36" i="3"/>
  <c r="F36" i="3"/>
  <c r="J35" i="3"/>
  <c r="K35" i="3" s="1"/>
  <c r="M35" i="3" s="1"/>
  <c r="G35" i="3"/>
  <c r="H35" i="3" s="1"/>
  <c r="G34" i="3"/>
  <c r="H34" i="3" s="1"/>
  <c r="J27" i="3"/>
  <c r="L27" i="3" s="1"/>
  <c r="G27" i="3"/>
  <c r="H27" i="3" s="1"/>
  <c r="J26" i="3"/>
  <c r="L26" i="3" s="1"/>
  <c r="G26" i="3"/>
  <c r="H26" i="3" s="1"/>
  <c r="J25" i="3"/>
  <c r="K25" i="3" s="1"/>
  <c r="G25" i="3"/>
  <c r="O25" i="3" s="1"/>
  <c r="J24" i="3"/>
  <c r="L24" i="3" s="1"/>
  <c r="G24" i="3"/>
  <c r="H24" i="3" s="1"/>
  <c r="F24" i="3"/>
  <c r="J23" i="3"/>
  <c r="K23" i="3" s="1"/>
  <c r="G23" i="3"/>
  <c r="O23" i="3" s="1"/>
  <c r="J22" i="3"/>
  <c r="L22" i="3" s="1"/>
  <c r="G22" i="3"/>
  <c r="H22" i="3" s="1"/>
  <c r="F22" i="3"/>
  <c r="J21" i="3"/>
  <c r="K21" i="3" s="1"/>
  <c r="G21" i="3"/>
  <c r="O21" i="3" s="1"/>
  <c r="F21" i="3"/>
  <c r="J15" i="3"/>
  <c r="L15" i="3" s="1"/>
  <c r="G15" i="3"/>
  <c r="H15" i="3" s="1"/>
  <c r="J11" i="3"/>
  <c r="L11" i="3" s="1"/>
  <c r="G11" i="3"/>
  <c r="L35" i="3" l="1"/>
  <c r="N6" i="3"/>
  <c r="F76" i="3"/>
  <c r="L45" i="3"/>
  <c r="L60" i="3"/>
  <c r="M60" i="3" s="1"/>
  <c r="M46" i="3" s="1"/>
  <c r="O15" i="3"/>
  <c r="K11" i="3"/>
  <c r="K15" i="3"/>
  <c r="H21" i="3"/>
  <c r="H23" i="3"/>
  <c r="H25" i="3"/>
  <c r="K26" i="3"/>
  <c r="K27" i="3"/>
  <c r="M27" i="3" s="1"/>
  <c r="J36" i="3"/>
  <c r="K47" i="3"/>
  <c r="K46" i="3" s="1"/>
  <c r="H46" i="3"/>
  <c r="J46" i="3"/>
  <c r="K30" i="3"/>
  <c r="K32" i="3"/>
  <c r="O24" i="3"/>
  <c r="J6" i="3"/>
  <c r="K22" i="3"/>
  <c r="M22" i="3" s="1"/>
  <c r="K24" i="3"/>
  <c r="M24" i="3" s="1"/>
  <c r="H36" i="3"/>
  <c r="K19" i="3"/>
  <c r="K67" i="3"/>
  <c r="G6" i="3"/>
  <c r="G75" i="3" s="1"/>
  <c r="F6" i="3"/>
  <c r="L37" i="3"/>
  <c r="O22" i="3"/>
  <c r="H64" i="3"/>
  <c r="N75" i="3"/>
  <c r="H11" i="3"/>
  <c r="K44" i="3"/>
  <c r="L58" i="3"/>
  <c r="L21" i="3"/>
  <c r="L23" i="3"/>
  <c r="L25" i="3"/>
  <c r="L48" i="3"/>
  <c r="L49" i="3"/>
  <c r="L20" i="3"/>
  <c r="L54" i="3"/>
  <c r="L55" i="3"/>
  <c r="L31" i="3"/>
  <c r="L29" i="3"/>
  <c r="L62" i="3"/>
  <c r="J64" i="3"/>
  <c r="L70" i="3"/>
  <c r="L64" i="3" s="1"/>
  <c r="K43" i="3"/>
  <c r="K18" i="3"/>
  <c r="L36" i="3" l="1"/>
  <c r="K36" i="3"/>
  <c r="I75" i="3"/>
  <c r="I77" i="3" s="1"/>
  <c r="K6" i="3"/>
  <c r="H6" i="3"/>
  <c r="H75" i="3" s="1"/>
  <c r="H77" i="3" s="1"/>
  <c r="M6" i="3"/>
  <c r="M75" i="3" s="1"/>
  <c r="M77" i="3" s="1"/>
  <c r="O75" i="3"/>
  <c r="L6" i="3"/>
  <c r="J75" i="3"/>
  <c r="K64" i="3"/>
  <c r="L46" i="3"/>
  <c r="K75" i="3" l="1"/>
  <c r="L75" i="3"/>
</calcChain>
</file>

<file path=xl/sharedStrings.xml><?xml version="1.0" encoding="utf-8"?>
<sst xmlns="http://schemas.openxmlformats.org/spreadsheetml/2006/main" count="306" uniqueCount="104">
  <si>
    <t xml:space="preserve">                                                     </t>
  </si>
  <si>
    <t>Назва кредитора та інвестиційного проекту, 
що реалізується за рахунок кредиту (позики)</t>
  </si>
  <si>
    <t xml:space="preserve">Назва валюти, в якій залучається кредит (позика) </t>
  </si>
  <si>
    <r>
      <t xml:space="preserve">Загальний обсяг кредиту (позики) 
</t>
    </r>
    <r>
      <rPr>
        <i/>
        <sz val="12"/>
        <rFont val="Times New Roman"/>
        <family val="1"/>
        <charset val="204"/>
      </rPr>
      <t>(тис. одиниць)</t>
    </r>
  </si>
  <si>
    <t>Код програмної класифікації видатків та кредитування державного бюджету</t>
  </si>
  <si>
    <t>Найменування згідно з програмною класифікацією 
видатків та кредитування державного бюджету</t>
  </si>
  <si>
    <r>
      <t xml:space="preserve"> Обсяг залучення
кредиту (позики)
у 2016 році 
</t>
    </r>
    <r>
      <rPr>
        <i/>
        <sz val="12"/>
        <rFont val="Times New Roman"/>
        <family val="1"/>
        <charset val="204"/>
      </rPr>
      <t xml:space="preserve">(тис. грн.)  </t>
    </r>
  </si>
  <si>
    <t>Кредитор - Міжнародний банк реконструкції та розвитку:</t>
  </si>
  <si>
    <t>Проект реабілітації гідроелектростанцій</t>
  </si>
  <si>
    <t>дол. США</t>
  </si>
  <si>
    <t xml:space="preserve">Реконструкція гідроелектростанцій ПАТ "Укргідроенерго" </t>
  </si>
  <si>
    <t>Впровадження Програми реформування та розвитку енергетичного сектора</t>
  </si>
  <si>
    <t>Додаткове фінансування на виконання Проекту реабілітації гідроелектростанцій</t>
  </si>
  <si>
    <t>Реконструкція гідроелектростанцій ПАТ "Укргідроенерго"</t>
  </si>
  <si>
    <t>Проект "Будівництво Канівської ГАЕС"</t>
  </si>
  <si>
    <t>Будівництво Канівської ГАЕС</t>
  </si>
  <si>
    <t>Проект з передачі електроенергії</t>
  </si>
  <si>
    <t>Підвищення надійності постачання електроенергії в Україні</t>
  </si>
  <si>
    <t>Проект з передачі електроенергії - 2</t>
  </si>
  <si>
    <t>Проект "Поліпшення охорони здоров`я на службі у людей"</t>
  </si>
  <si>
    <t>Поліпшення охорони здоров`я на службі у людей</t>
  </si>
  <si>
    <t>Субвенція з державного бюджету місцевим бюджетам на реформування регіональних систем охорони здоров’я для здійснення  заходів з виконання спільного з Міжнародним банком реконструкції та розвитку проекту "Поліпшення охорони здоров'я на службі у людей"</t>
  </si>
  <si>
    <t>Проект "Модернізація системи соціальної підтримки населення України"</t>
  </si>
  <si>
    <t>Модернізація системи соціальної підтримки населення України</t>
  </si>
  <si>
    <t>Проект розвитку міської інфраструктури - 2</t>
  </si>
  <si>
    <t>Розвиток міської інфраструктури і заходи в секторі централізованого теплопостачання України, розвиток системи водопостачання та водовідведення в м. Миколаєві, реконструкція та розвиток системи комунального водного господарства м. Чернівці</t>
  </si>
  <si>
    <t>Фінансування заходів по забезпеченню впровадження та координації проекту розвитку міської інфраструктури та заходів в секторі централізованого теплопостачання України</t>
  </si>
  <si>
    <t>Проект "Підвищення енергоефективності в секторі централізованого теплопостачання України"</t>
  </si>
  <si>
    <t>Другий проект покращення автомобільних доріг та безпеки руху</t>
  </si>
  <si>
    <t>Розвиток автомагістралей та реформа дорожнього сектору</t>
  </si>
  <si>
    <t xml:space="preserve">Проект розвитку дорожньої галузі (Третій проект покращення автомобільних доріг та безпеки руху) </t>
  </si>
  <si>
    <t>Кредитор - Європейський банк реконструкції та розвитку:</t>
  </si>
  <si>
    <t xml:space="preserve">Проект "Реабілітація гідроелектростанцій" </t>
  </si>
  <si>
    <t>євро</t>
  </si>
  <si>
    <t>Проект "Реконструкція, капітальний ремонт та технічне переоснащення магістрального газопроводу Уренгой-Помари-Ужгород"</t>
  </si>
  <si>
    <t xml:space="preserve">Реконструкція, капітальний ремонт та технічне переоснащення магістрального газопроводу Уренгой-Помари-Ужгород </t>
  </si>
  <si>
    <t>Проект "Будівництво високовольтної повітряної лінії 750 кВ Рівненська АЕС - Київська"</t>
  </si>
  <si>
    <t>Будівництво ПЛ 750 кВ Рівненська АЕС - Київська</t>
  </si>
  <si>
    <t>Проект "Будівництво повітряної лінії 750 кВ Запорізька АЕС - Каховська"</t>
  </si>
  <si>
    <t>Будівництво повітряної лінії 750 кВ Запорізька - Каховська</t>
  </si>
  <si>
    <t>Проект "Покращення транспортно-експлуатаційного стану автомобільних доріг на під'їздах до м. Києва (пан'європейські коридори)"</t>
  </si>
  <si>
    <t>П'ятий проект "Покращення транспортно-експлуатаційного стану автомобільних доріг"</t>
  </si>
  <si>
    <t>Проект "Завершення будівництва метрополітену у м. Дніпропетровську"</t>
  </si>
  <si>
    <t>Cубвенція з державного бюджету міському бюджету міста Дніпропетровська на завершення будівництва метрополітену у м. Дніпропетровську</t>
  </si>
  <si>
    <t>Кредитор - Європейський інвестиційний банк:</t>
  </si>
  <si>
    <t xml:space="preserve">Україна - Проект "Реабілітація гідроелектростанцій" </t>
  </si>
  <si>
    <t xml:space="preserve">Проект "Реконструкція, капітальний ремонт та технічне переоснащення магістрального газопроводу Уренгой-Помари-Ужгород" </t>
  </si>
  <si>
    <t xml:space="preserve">Проект будівництва високовольтної повітряної лінії 750 кВ Рівненська АЕС - Київська </t>
  </si>
  <si>
    <t>Вища освіта України</t>
  </si>
  <si>
    <t>Вища освіта. Енергоефективність та сталий розвиток</t>
  </si>
  <si>
    <t>Проект "Розвиток системи водопостачання та водовідведення в м. Миколаєві"</t>
  </si>
  <si>
    <t>Проект "Надзвичайна кредитна програма для України"</t>
  </si>
  <si>
    <t>Реалізація надзвичайної  кредитної  програми для України</t>
  </si>
  <si>
    <t>Субвенція з державного бюджету місцевим бюджетам для реалізації проектів в рамках Надзвичайної кредитної програми для відновлення України</t>
  </si>
  <si>
    <t>Проект "Програма розвитку муніципальної інфраструктури"</t>
  </si>
  <si>
    <t>Програма розвитку муніципальної інфраструктури</t>
  </si>
  <si>
    <t>Європейські дороги України ІІ (Проект покращення транспортно-експлуатаційного стану автомобільних доріг на підходах до м. Києва)</t>
  </si>
  <si>
    <t>Проет "Основний кредит для МСП та установ з середньою капіталізацією - Україна (АРЕХ)"</t>
  </si>
  <si>
    <t>Фінансування проектів розвитку за рахунок коштів, залучених державою</t>
  </si>
  <si>
    <t>Кредитор - Кредитна установа для відбудови:</t>
  </si>
  <si>
    <t>Проект "Підвищення ефективності передачі електроенергії (Модернізація підстанцій)"</t>
  </si>
  <si>
    <t>Підвищення ефективності передачі електроенергії (Модернізація підстанцій)</t>
  </si>
  <si>
    <t>Незв'язаний фінансовий кредит  - Проект "Реконструкція трансформаторних підстанцій східної частини України"</t>
  </si>
  <si>
    <t>Реконструкція трансформаторних підстанцій східної частини України</t>
  </si>
  <si>
    <t>Проект муніципального водного господарства м. Чернівці, стадія І (реконструкція систем водопостачання у м. Чернівці)</t>
  </si>
  <si>
    <t xml:space="preserve">Незв'язаний фінансовий кредит </t>
  </si>
  <si>
    <t>Відновлення Сходу України</t>
  </si>
  <si>
    <t>Незв'язаний фінансовий кредит  - Проект "Реалізація інфраструктурних проектів для східної частини України"</t>
  </si>
  <si>
    <t>Відновлення  транспортної інфраструктури у Східних регіонах України</t>
  </si>
  <si>
    <t>Проект "Підтримка малих і середніх підприємств"</t>
  </si>
  <si>
    <t>Кредитор - Уряд Республіки Польща:</t>
  </si>
  <si>
    <t>Проект з розбудови прикордонної дорожньої інфраструктури та облаштування пунктів пропуску українсько-польського кордону та інші проекти</t>
  </si>
  <si>
    <t>Кредитор - Японське агентство міжнародного співробітництва:</t>
  </si>
  <si>
    <t>Проект "Реконструкція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аерації"</t>
  </si>
  <si>
    <t>японська єна</t>
  </si>
  <si>
    <t xml:space="preserve">Р А З О М </t>
  </si>
  <si>
    <t>сценарій 1</t>
  </si>
  <si>
    <t>сценарій 2</t>
  </si>
  <si>
    <t xml:space="preserve"> Обсяг залучення
кредиту (позики)
у 2017 році 
(тис. грн.) </t>
  </si>
  <si>
    <t xml:space="preserve"> Обсяг залучення
кредиту (позики)
у 2018 році 
(тис. грн.) </t>
  </si>
  <si>
    <t xml:space="preserve"> Обсяг залучення
кредиту (позики)
у 2019 році 
(тис. грн.) </t>
  </si>
  <si>
    <t>Проект «Основний кредит для аграрної галузі - України (АПЕКС)»</t>
  </si>
  <si>
    <t>Проект модернізації автоматизованих систем прикордонного контролю</t>
  </si>
  <si>
    <t>Проект з будівництва, реконструкції та капітального ремонту автомобільних доріг західного регіону, для подальшого якісного поєднання їх з автомобільними дорогами Республіки Польща</t>
  </si>
  <si>
    <t xml:space="preserve"> Обсяг залучення
кредиту (позики)
у 2017 році 
(тис.дол (27,8/тис.євро.крос курс 1,2/тис.яп.ієн - коефдо дол 0,0130) </t>
  </si>
  <si>
    <t>Проект з розбудови прикордонної дорожньої інфраструктури та облаштування пунктів пропуску</t>
  </si>
  <si>
    <t xml:space="preserve">Проект муніципального водного господарства м. Чернівці, стадія І </t>
  </si>
  <si>
    <t xml:space="preserve">Проект розвитку дорожньої галузі (Третій проект покращення автомобільних доріг України) </t>
  </si>
  <si>
    <t>Проект "Будівництво  повітряної лінії 750 кВ Рівненська АЕС - Київська"</t>
  </si>
  <si>
    <t>Проект "Покращення транспортно-експлуатаційного стану автомобільних доріг на  підходах до м. Києва "</t>
  </si>
  <si>
    <r>
      <rPr>
        <i/>
        <sz val="12"/>
        <color theme="1"/>
        <rFont val="Times New Roman"/>
        <family val="1"/>
        <charset val="204"/>
      </rPr>
      <t xml:space="preserve">Проект з передачі електроенергії - 2     </t>
    </r>
    <r>
      <rPr>
        <i/>
        <strike/>
        <sz val="12"/>
        <color theme="1"/>
        <rFont val="Times New Roman"/>
        <family val="1"/>
        <charset val="204"/>
      </rPr>
      <t xml:space="preserve">
</t>
    </r>
  </si>
  <si>
    <t>Додаткова потреба на 2017 рік                                  (тис. грн.)</t>
  </si>
  <si>
    <r>
      <t xml:space="preserve">Прогноз залучення кредитів (позик) у </t>
    </r>
    <r>
      <rPr>
        <b/>
        <sz val="12"/>
        <color indexed="8"/>
        <rFont val="Times New Roman"/>
        <family val="1"/>
        <charset val="204"/>
      </rPr>
      <t xml:space="preserve">2018 році   </t>
    </r>
    <r>
      <rPr>
        <sz val="12"/>
        <color indexed="8"/>
        <rFont val="Times New Roman"/>
        <family val="1"/>
        <charset val="204"/>
      </rPr>
      <t xml:space="preserve">                                 (тис. грн.)</t>
    </r>
  </si>
  <si>
    <r>
      <t xml:space="preserve">Прогноз залучення кредитів (позик) у </t>
    </r>
    <r>
      <rPr>
        <b/>
        <sz val="12"/>
        <color indexed="8"/>
        <rFont val="Times New Roman"/>
        <family val="1"/>
        <charset val="204"/>
      </rPr>
      <t xml:space="preserve">2019 році   </t>
    </r>
    <r>
      <rPr>
        <sz val="12"/>
        <color indexed="8"/>
        <rFont val="Times New Roman"/>
        <family val="1"/>
        <charset val="204"/>
      </rPr>
      <t xml:space="preserve">                                 (тис. грн.)</t>
    </r>
  </si>
  <si>
    <r>
      <t xml:space="preserve">Прогноз залучення кредитів (позик) у </t>
    </r>
    <r>
      <rPr>
        <b/>
        <sz val="12"/>
        <color indexed="8"/>
        <rFont val="Times New Roman"/>
        <family val="1"/>
        <charset val="204"/>
      </rPr>
      <t xml:space="preserve">2018 році </t>
    </r>
    <r>
      <rPr>
        <sz val="12"/>
        <color indexed="8"/>
        <rFont val="Times New Roman"/>
        <family val="1"/>
        <charset val="204"/>
      </rPr>
      <t xml:space="preserve">                                                (тис. грн.)</t>
    </r>
  </si>
  <si>
    <r>
      <t xml:space="preserve">Прогноз залучення кредитів (позик) у </t>
    </r>
    <r>
      <rPr>
        <b/>
        <sz val="12"/>
        <color indexed="8"/>
        <rFont val="Times New Roman"/>
        <family val="1"/>
        <charset val="204"/>
      </rPr>
      <t xml:space="preserve">2019 році </t>
    </r>
    <r>
      <rPr>
        <sz val="12"/>
        <color indexed="8"/>
        <rFont val="Times New Roman"/>
        <family val="1"/>
        <charset val="204"/>
      </rPr>
      <t xml:space="preserve">                                                (тис. грн.)</t>
    </r>
  </si>
  <si>
    <t>Показники видатків (надання кредитів) спеціального фонду державного бюджету по проектах міжнародних фінансових організацій до проекту бюджету на 2017 рік та прогнозу на 2018-2019 роки в розрізі головних розпорядників бюджетних коштів та бюджетних програм  (зведення за КПКВ)</t>
  </si>
  <si>
    <t>Реалізація проекту з модернізації автоматизованих систем прикордонного контролю</t>
  </si>
  <si>
    <t>Реалізація проекту з будівництва, реконструкції та капітального ремонту автомобільних доріг західного регіону, для подальшого якісного поєднання їх з автомобільними дорогами Республіки Польща</t>
  </si>
  <si>
    <t>Реалізація проекту з розбудови прикордонної дорожньої інфраструктури та облаштування пунктів пропуску</t>
  </si>
  <si>
    <t xml:space="preserve">                                                                                      Додаток № 9  
                                                                                   до Закону України
                                                                                   "Про Державний бюджет України на 2017 рік"                                                     </t>
  </si>
  <si>
    <t>Проект "Основний кредит для малих та середніх підприємств та компаній з середньою капіталізацієюʺ</t>
  </si>
  <si>
    <t>Фінансування заходів по забезпеченню впровадження та координації проекту розвитку міської інфраструктури, заходів в секторі централізованого теплопостачання України, надзвичайної кредитної програми для України, програми розвитку муніципальної інфраструктури України та заходів з відновлення сходу України</t>
  </si>
  <si>
    <t>Перелік кредитів (позик), що залучаються державою до спеціального фонду Державного бюджету України у 2017 році 
від іноземних держав, банків і міжнародних фінансових організацій для реалізації інвестиційних проектів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</si>
</sst>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"/>
    <numFmt numFmtId="165" formatCode="#,##0_ ;[Red]\-#,##0\ "/>
    <numFmt numFmtId="166" formatCode="#,##0;[Red]#,##0"/>
    <numFmt numFmtId="167" formatCode="_-* #,##0\ _р_._-;\-* #,##0\ _р_._-;_-* &quot;-&quot;\ _р_._-;_-@_-"/>
    <numFmt numFmtId="168" formatCode="_-* #,##0.00\ _р_._-;\-* #,##0.00\ _р_._-;_-* &quot;-&quot;??\ _р_._-;_-@_-"/>
    <numFmt numFmtId="169" formatCode="_-* #,##0.00_р_._-;\-* #,##0.00_р_._-;_-* &quot;-&quot;??_р_._-;_-@_-"/>
    <numFmt numFmtId="170" formatCode="_-* #,##0.00\ _г_р_н_._-;\-* #,##0.00\ _г_р_н_._-;_-* &quot;-&quot;??\ _г_р_н_._-;_-@_-"/>
    <numFmt numFmtId="171" formatCode="#,##0\ &quot;грн.&quot;;\-#,##0\ &quot;грн.&quot;"/>
  </numFmts>
  <fonts count="5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60"/>
      <name val="Calibri"/>
      <family val="2"/>
      <charset val="204"/>
    </font>
    <font>
      <sz val="10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color indexed="9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0"/>
      <color indexed="62"/>
      <name val="Arial Cyr"/>
      <family val="2"/>
      <charset val="204"/>
    </font>
    <font>
      <b/>
      <sz val="11"/>
      <color indexed="63"/>
      <name val="Calibri"/>
      <family val="2"/>
      <charset val="204"/>
    </font>
    <font>
      <b/>
      <sz val="10"/>
      <color indexed="63"/>
      <name val="Arial Cyr"/>
      <family val="2"/>
      <charset val="204"/>
    </font>
    <font>
      <b/>
      <sz val="11"/>
      <color indexed="10"/>
      <name val="Calibri"/>
      <family val="2"/>
      <charset val="204"/>
    </font>
    <font>
      <b/>
      <sz val="10"/>
      <color indexed="52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Arial Cyr"/>
      <family val="2"/>
      <charset val="204"/>
    </font>
    <font>
      <sz val="10"/>
      <name val="Courier New"/>
      <family val="3"/>
      <charset val="204"/>
    </font>
    <font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Arial Cyr"/>
      <family val="2"/>
      <charset val="204"/>
    </font>
    <font>
      <b/>
      <sz val="11"/>
      <color indexed="9"/>
      <name val="Calibri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9"/>
      <name val="Calibri"/>
      <family val="2"/>
      <charset val="204"/>
    </font>
    <font>
      <sz val="10"/>
      <color indexed="60"/>
      <name val="Arial Cyr"/>
      <family val="2"/>
      <charset val="204"/>
    </font>
    <font>
      <sz val="10"/>
      <name val="Helv"/>
      <charset val="204"/>
    </font>
    <font>
      <sz val="11"/>
      <color indexed="20"/>
      <name val="Calibri"/>
      <family val="2"/>
      <charset val="204"/>
    </font>
    <font>
      <sz val="10"/>
      <color indexed="20"/>
      <name val="Arial Cyr"/>
      <family val="2"/>
      <charset val="204"/>
    </font>
    <font>
      <i/>
      <sz val="11"/>
      <color indexed="23"/>
      <name val="Calibri"/>
      <family val="2"/>
      <charset val="204"/>
    </font>
    <font>
      <i/>
      <sz val="10"/>
      <color indexed="23"/>
      <name val="Arial Cyr"/>
      <family val="2"/>
      <charset val="204"/>
    </font>
    <font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0"/>
      <color indexed="52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color indexed="10"/>
      <name val="Arial Cyr"/>
      <family val="2"/>
      <charset val="204"/>
    </font>
    <font>
      <sz val="11"/>
      <color indexed="17"/>
      <name val="Calibri"/>
      <family val="2"/>
      <charset val="204"/>
    </font>
    <font>
      <sz val="10"/>
      <color indexed="17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trike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87">
    <xf numFmtId="0" fontId="0" fillId="0" borderId="0"/>
    <xf numFmtId="0" fontId="1" fillId="0" borderId="0"/>
    <xf numFmtId="0" fontId="1" fillId="0" borderId="0"/>
    <xf numFmtId="0" fontId="1" fillId="0" borderId="0"/>
    <xf numFmtId="0" fontId="7" fillId="3" borderId="0" applyNumberFormat="0" applyBorder="0" applyAlignment="0" applyProtection="0"/>
    <xf numFmtId="0" fontId="1" fillId="4" borderId="0" applyNumberFormat="0" applyBorder="0" applyAlignment="0" applyProtection="0"/>
    <xf numFmtId="0" fontId="8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8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8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8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8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12" borderId="0" applyNumberFormat="0" applyBorder="0" applyAlignment="0" applyProtection="0"/>
    <xf numFmtId="0" fontId="8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8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8" fillId="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8" borderId="0" applyNumberFormat="0" applyBorder="0" applyAlignment="0" applyProtection="0"/>
    <xf numFmtId="0" fontId="8" fillId="13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8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8" fillId="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9" fillId="12" borderId="0" applyNumberFormat="0" applyBorder="0" applyAlignment="0" applyProtection="0"/>
    <xf numFmtId="0" fontId="10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10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15" borderId="0" applyNumberFormat="0" applyBorder="0" applyAlignment="0" applyProtection="0"/>
    <xf numFmtId="0" fontId="10" fillId="3" borderId="0" applyNumberFormat="0" applyBorder="0" applyAlignment="0" applyProtection="0"/>
    <xf numFmtId="0" fontId="9" fillId="14" borderId="0" applyNumberFormat="0" applyBorder="0" applyAlignment="0" applyProtection="0"/>
    <xf numFmtId="0" fontId="9" fillId="8" borderId="0" applyNumberFormat="0" applyBorder="0" applyAlignment="0" applyProtection="0"/>
    <xf numFmtId="0" fontId="10" fillId="13" borderId="0" applyNumberFormat="0" applyBorder="0" applyAlignment="0" applyProtection="0"/>
    <xf numFmtId="0" fontId="9" fillId="19" borderId="0" applyNumberFormat="0" applyBorder="0" applyAlignment="0" applyProtection="0"/>
    <xf numFmtId="0" fontId="9" fillId="12" borderId="0" applyNumberFormat="0" applyBorder="0" applyAlignment="0" applyProtection="0"/>
    <xf numFmtId="0" fontId="10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7" borderId="0" applyNumberFormat="0" applyBorder="0" applyAlignment="0" applyProtection="0"/>
    <xf numFmtId="0" fontId="10" fillId="7" borderId="0" applyNumberFormat="0" applyBorder="0" applyAlignment="0" applyProtection="0"/>
    <xf numFmtId="0" fontId="9" fillId="20" borderId="0" applyNumberFormat="0" applyBorder="0" applyAlignment="0" applyProtection="0"/>
    <xf numFmtId="0" fontId="11" fillId="0" borderId="0"/>
    <xf numFmtId="0" fontId="9" fillId="21" borderId="0" applyNumberFormat="0" applyBorder="0" applyAlignment="0" applyProtection="0"/>
    <xf numFmtId="0" fontId="10" fillId="16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18" borderId="0" applyNumberFormat="0" applyBorder="0" applyAlignment="0" applyProtection="0"/>
    <xf numFmtId="0" fontId="10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15" borderId="0" applyNumberFormat="0" applyBorder="0" applyAlignment="0" applyProtection="0"/>
    <xf numFmtId="0" fontId="10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5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10" fillId="16" borderId="0" applyNumberFormat="0" applyBorder="0" applyAlignment="0" applyProtection="0"/>
    <xf numFmtId="0" fontId="9" fillId="23" borderId="0" applyNumberFormat="0" applyBorder="0" applyAlignment="0" applyProtection="0"/>
    <xf numFmtId="0" fontId="10" fillId="18" borderId="0" applyNumberFormat="0" applyBorder="0" applyAlignment="0" applyProtection="0"/>
    <xf numFmtId="0" fontId="9" fillId="18" borderId="0" applyNumberFormat="0" applyBorder="0" applyAlignment="0" applyProtection="0"/>
    <xf numFmtId="0" fontId="13" fillId="3" borderId="18" applyNumberFormat="0" applyAlignment="0" applyProtection="0"/>
    <xf numFmtId="0" fontId="14" fillId="3" borderId="18" applyNumberFormat="0" applyAlignment="0" applyProtection="0"/>
    <xf numFmtId="0" fontId="13" fillId="5" borderId="18" applyNumberFormat="0" applyAlignment="0" applyProtection="0"/>
    <xf numFmtId="0" fontId="15" fillId="26" borderId="19" applyNumberFormat="0" applyAlignment="0" applyProtection="0"/>
    <xf numFmtId="0" fontId="16" fillId="26" borderId="19" applyNumberFormat="0" applyAlignment="0" applyProtection="0"/>
    <xf numFmtId="0" fontId="15" fillId="13" borderId="19" applyNumberFormat="0" applyAlignment="0" applyProtection="0"/>
    <xf numFmtId="0" fontId="15" fillId="13" borderId="19" applyNumberFormat="0" applyAlignment="0" applyProtection="0"/>
    <xf numFmtId="0" fontId="17" fillId="26" borderId="18" applyNumberFormat="0" applyAlignment="0" applyProtection="0"/>
    <xf numFmtId="0" fontId="18" fillId="26" borderId="18" applyNumberFormat="0" applyAlignment="0" applyProtection="0"/>
    <xf numFmtId="0" fontId="19" fillId="13" borderId="18" applyNumberFormat="0" applyAlignment="0" applyProtection="0"/>
    <xf numFmtId="0" fontId="19" fillId="13" borderId="18" applyNumberFormat="0" applyAlignment="0" applyProtection="0"/>
    <xf numFmtId="0" fontId="20" fillId="0" borderId="20" applyNumberFormat="0" applyFill="0" applyAlignment="0" applyProtection="0"/>
    <xf numFmtId="0" fontId="21" fillId="0" borderId="21" applyNumberFormat="0" applyFill="0" applyAlignment="0" applyProtection="0"/>
    <xf numFmtId="0" fontId="22" fillId="0" borderId="22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1" fillId="0" borderId="0"/>
    <xf numFmtId="0" fontId="11" fillId="0" borderId="0"/>
    <xf numFmtId="0" fontId="11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5" fillId="0" borderId="25" applyNumberFormat="0" applyFill="0" applyAlignment="0" applyProtection="0"/>
    <xf numFmtId="0" fontId="25" fillId="0" borderId="25" applyNumberFormat="0" applyFill="0" applyAlignment="0" applyProtection="0"/>
    <xf numFmtId="0" fontId="27" fillId="27" borderId="26" applyNumberFormat="0" applyAlignment="0" applyProtection="0"/>
    <xf numFmtId="0" fontId="28" fillId="27" borderId="26" applyNumberFormat="0" applyAlignment="0" applyProtection="0"/>
    <xf numFmtId="0" fontId="27" fillId="27" borderId="26" applyNumberForma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3" borderId="0" applyNumberFormat="0" applyBorder="0" applyAlignment="0" applyProtection="0"/>
    <xf numFmtId="0" fontId="32" fillId="3" borderId="0" applyNumberFormat="0" applyBorder="0" applyAlignment="0" applyProtection="0"/>
    <xf numFmtId="0" fontId="7" fillId="3" borderId="0" applyNumberFormat="0" applyBorder="0" applyAlignment="0" applyProtection="0"/>
    <xf numFmtId="0" fontId="11" fillId="0" borderId="0"/>
    <xf numFmtId="0" fontId="1" fillId="0" borderId="0"/>
    <xf numFmtId="0" fontId="1" fillId="0" borderId="0"/>
    <xf numFmtId="0" fontId="33" fillId="0" borderId="0"/>
    <xf numFmtId="0" fontId="34" fillId="11" borderId="0" applyNumberFormat="0" applyBorder="0" applyAlignment="0" applyProtection="0"/>
    <xf numFmtId="0" fontId="35" fillId="8" borderId="0" applyNumberFormat="0" applyBorder="0" applyAlignment="0" applyProtection="0"/>
    <xf numFmtId="0" fontId="34" fillId="8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9" borderId="27" applyNumberFormat="0" applyFont="0" applyAlignment="0" applyProtection="0"/>
    <xf numFmtId="0" fontId="11" fillId="9" borderId="27" applyNumberFormat="0" applyFont="0" applyAlignment="0" applyProtection="0"/>
    <xf numFmtId="0" fontId="11" fillId="9" borderId="27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9" fillId="0" borderId="28" applyNumberFormat="0" applyFill="0" applyAlignment="0" applyProtection="0"/>
    <xf numFmtId="0" fontId="40" fillId="0" borderId="29" applyNumberFormat="0" applyFill="0" applyAlignment="0" applyProtection="0"/>
    <xf numFmtId="0" fontId="41" fillId="0" borderId="29" applyNumberFormat="0" applyFill="0" applyAlignment="0" applyProtection="0"/>
    <xf numFmtId="0" fontId="33" fillId="0" borderId="0"/>
    <xf numFmtId="0" fontId="39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167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43" fillId="12" borderId="0" applyNumberFormat="0" applyBorder="0" applyAlignment="0" applyProtection="0"/>
    <xf numFmtId="0" fontId="44" fillId="10" borderId="0" applyNumberFormat="0" applyBorder="0" applyAlignment="0" applyProtection="0"/>
    <xf numFmtId="0" fontId="43" fillId="10" borderId="0" applyNumberFormat="0" applyBorder="0" applyAlignment="0" applyProtection="0"/>
  </cellStyleXfs>
  <cellXfs count="355">
    <xf numFmtId="0" fontId="0" fillId="0" borderId="0" xfId="0"/>
    <xf numFmtId="0" fontId="2" fillId="2" borderId="6" xfId="1" applyFont="1" applyFill="1" applyBorder="1" applyAlignment="1">
      <alignment horizontal="center" vertical="top" wrapText="1"/>
    </xf>
    <xf numFmtId="0" fontId="2" fillId="2" borderId="6" xfId="1" applyFont="1" applyFill="1" applyBorder="1" applyAlignment="1">
      <alignment vertical="top" wrapText="1"/>
    </xf>
    <xf numFmtId="0" fontId="6" fillId="0" borderId="6" xfId="2" applyFont="1" applyBorder="1"/>
    <xf numFmtId="4" fontId="6" fillId="0" borderId="6" xfId="2" applyNumberFormat="1" applyFont="1" applyBorder="1"/>
    <xf numFmtId="4" fontId="6" fillId="28" borderId="6" xfId="2" applyNumberFormat="1" applyFont="1" applyFill="1" applyBorder="1"/>
    <xf numFmtId="4" fontId="6" fillId="28" borderId="6" xfId="2" applyNumberFormat="1" applyFont="1" applyFill="1" applyBorder="1" applyAlignment="1">
      <alignment horizontal="center" vertical="center"/>
    </xf>
    <xf numFmtId="4" fontId="45" fillId="29" borderId="6" xfId="2" applyNumberFormat="1" applyFont="1" applyFill="1" applyBorder="1"/>
    <xf numFmtId="4" fontId="6" fillId="30" borderId="6" xfId="2" applyNumberFormat="1" applyFont="1" applyFill="1" applyBorder="1"/>
    <xf numFmtId="0" fontId="2" fillId="2" borderId="8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6" fillId="0" borderId="0" xfId="2" applyFont="1" applyBorder="1"/>
    <xf numFmtId="4" fontId="45" fillId="29" borderId="0" xfId="2" applyNumberFormat="1" applyFont="1" applyFill="1" applyBorder="1"/>
    <xf numFmtId="4" fontId="6" fillId="0" borderId="0" xfId="2" applyNumberFormat="1" applyFont="1" applyBorder="1"/>
    <xf numFmtId="0" fontId="2" fillId="2" borderId="39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4" fontId="47" fillId="0" borderId="6" xfId="2" applyNumberFormat="1" applyFont="1" applyFill="1" applyBorder="1"/>
    <xf numFmtId="164" fontId="47" fillId="0" borderId="6" xfId="2" applyNumberFormat="1" applyFont="1" applyFill="1" applyBorder="1"/>
    <xf numFmtId="0" fontId="2" fillId="2" borderId="0" xfId="1" applyFont="1" applyFill="1" applyAlignment="1">
      <alignment horizontal="center" vertical="top" wrapText="1"/>
    </xf>
    <xf numFmtId="0" fontId="51" fillId="2" borderId="0" xfId="1" applyFont="1" applyFill="1"/>
    <xf numFmtId="0" fontId="51" fillId="2" borderId="0" xfId="1" applyFont="1" applyFill="1" applyAlignment="1">
      <alignment vertical="top"/>
    </xf>
    <xf numFmtId="164" fontId="6" fillId="0" borderId="35" xfId="2" applyNumberFormat="1" applyFont="1" applyBorder="1"/>
    <xf numFmtId="164" fontId="6" fillId="2" borderId="35" xfId="2" applyNumberFormat="1" applyFont="1" applyFill="1" applyBorder="1" applyAlignment="1">
      <alignment horizontal="right" vertical="center"/>
    </xf>
    <xf numFmtId="0" fontId="6" fillId="0" borderId="0" xfId="2" applyFont="1" applyFill="1" applyAlignment="1">
      <alignment horizontal="center" vertical="center"/>
    </xf>
    <xf numFmtId="0" fontId="6" fillId="0" borderId="0" xfId="2" applyFont="1"/>
    <xf numFmtId="0" fontId="6" fillId="0" borderId="0" xfId="2" applyFont="1" applyAlignment="1">
      <alignment horizontal="right"/>
    </xf>
    <xf numFmtId="0" fontId="45" fillId="29" borderId="0" xfId="2" applyFont="1" applyFill="1"/>
    <xf numFmtId="0" fontId="45" fillId="29" borderId="6" xfId="2" applyFont="1" applyFill="1" applyBorder="1" applyAlignment="1">
      <alignment horizontal="right" vertical="top"/>
    </xf>
    <xf numFmtId="0" fontId="6" fillId="0" borderId="6" xfId="2" applyFont="1" applyBorder="1" applyAlignment="1">
      <alignment horizontal="right" vertical="top"/>
    </xf>
    <xf numFmtId="164" fontId="6" fillId="0" borderId="0" xfId="2" applyNumberFormat="1" applyFont="1"/>
    <xf numFmtId="4" fontId="6" fillId="0" borderId="0" xfId="2" applyNumberFormat="1" applyFont="1"/>
    <xf numFmtId="0" fontId="6" fillId="0" borderId="0" xfId="2" applyFont="1" applyAlignment="1">
      <alignment vertical="center"/>
    </xf>
    <xf numFmtId="0" fontId="45" fillId="29" borderId="0" xfId="2" applyFont="1" applyFill="1" applyAlignment="1">
      <alignment vertical="center"/>
    </xf>
    <xf numFmtId="4" fontId="6" fillId="0" borderId="0" xfId="2" applyNumberFormat="1" applyFont="1" applyAlignment="1">
      <alignment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Border="1" applyAlignment="1">
      <alignment vertical="center"/>
    </xf>
    <xf numFmtId="4" fontId="6" fillId="0" borderId="6" xfId="2" applyNumberFormat="1" applyFont="1" applyBorder="1" applyAlignment="1">
      <alignment vertical="center"/>
    </xf>
    <xf numFmtId="4" fontId="6" fillId="0" borderId="6" xfId="2" applyNumberFormat="1" applyFont="1" applyFill="1" applyBorder="1" applyAlignment="1">
      <alignment vertical="center"/>
    </xf>
    <xf numFmtId="4" fontId="2" fillId="0" borderId="6" xfId="2" applyNumberFormat="1" applyFont="1" applyBorder="1" applyAlignment="1">
      <alignment vertical="center"/>
    </xf>
    <xf numFmtId="4" fontId="45" fillId="29" borderId="6" xfId="2" applyNumberFormat="1" applyFont="1" applyFill="1" applyBorder="1" applyAlignment="1">
      <alignment vertical="center"/>
    </xf>
    <xf numFmtId="0" fontId="6" fillId="0" borderId="42" xfId="2" applyFont="1" applyBorder="1" applyAlignment="1">
      <alignment horizontal="center" vertical="center"/>
    </xf>
    <xf numFmtId="0" fontId="6" fillId="0" borderId="43" xfId="2" applyFont="1" applyBorder="1" applyAlignment="1">
      <alignment horizontal="center" vertical="center"/>
    </xf>
    <xf numFmtId="0" fontId="45" fillId="29" borderId="0" xfId="2" applyFont="1" applyFill="1" applyBorder="1"/>
    <xf numFmtId="0" fontId="45" fillId="29" borderId="0" xfId="2" applyFont="1" applyFill="1" applyBorder="1" applyAlignment="1">
      <alignment vertical="center"/>
    </xf>
    <xf numFmtId="0" fontId="45" fillId="29" borderId="46" xfId="2" applyFont="1" applyFill="1" applyBorder="1" applyAlignment="1">
      <alignment vertical="center"/>
    </xf>
    <xf numFmtId="0" fontId="6" fillId="0" borderId="46" xfId="2" applyFont="1" applyBorder="1" applyAlignment="1">
      <alignment vertical="center"/>
    </xf>
    <xf numFmtId="4" fontId="6" fillId="0" borderId="45" xfId="2" applyNumberFormat="1" applyFont="1" applyBorder="1" applyAlignment="1">
      <alignment vertical="center"/>
    </xf>
    <xf numFmtId="4" fontId="6" fillId="0" borderId="45" xfId="2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/>
    </xf>
    <xf numFmtId="4" fontId="45" fillId="29" borderId="45" xfId="2" applyNumberFormat="1" applyFont="1" applyFill="1" applyBorder="1" applyAlignment="1">
      <alignment vertical="center"/>
    </xf>
    <xf numFmtId="0" fontId="48" fillId="0" borderId="15" xfId="0" applyFont="1" applyBorder="1" applyAlignment="1">
      <alignment vertical="center"/>
    </xf>
    <xf numFmtId="4" fontId="6" fillId="28" borderId="6" xfId="2" applyNumberFormat="1" applyFont="1" applyFill="1" applyBorder="1" applyAlignment="1">
      <alignment vertical="center"/>
    </xf>
    <xf numFmtId="4" fontId="6" fillId="28" borderId="45" xfId="2" applyNumberFormat="1" applyFont="1" applyFill="1" applyBorder="1" applyAlignment="1">
      <alignment vertical="center"/>
    </xf>
    <xf numFmtId="0" fontId="3" fillId="2" borderId="5" xfId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center" vertical="center" wrapText="1"/>
    </xf>
    <xf numFmtId="165" fontId="3" fillId="2" borderId="6" xfId="1" applyNumberFormat="1" applyFont="1" applyFill="1" applyBorder="1" applyAlignment="1">
      <alignment horizontal="center" vertical="center" wrapText="1"/>
    </xf>
    <xf numFmtId="0" fontId="2" fillId="28" borderId="6" xfId="4" applyFont="1" applyFill="1" applyBorder="1" applyAlignment="1">
      <alignment horizontal="center" vertical="center" wrapText="1"/>
    </xf>
    <xf numFmtId="164" fontId="6" fillId="28" borderId="35" xfId="2" applyNumberFormat="1" applyFont="1" applyFill="1" applyBorder="1" applyAlignment="1">
      <alignment vertical="center"/>
    </xf>
    <xf numFmtId="0" fontId="6" fillId="28" borderId="0" xfId="2" applyFont="1" applyFill="1" applyBorder="1" applyAlignment="1">
      <alignment vertical="center"/>
    </xf>
    <xf numFmtId="4" fontId="6" fillId="28" borderId="0" xfId="2" applyNumberFormat="1" applyFont="1" applyFill="1" applyBorder="1" applyAlignment="1">
      <alignment vertical="center"/>
    </xf>
    <xf numFmtId="4" fontId="6" fillId="28" borderId="6" xfId="2" applyNumberFormat="1" applyFont="1" applyFill="1" applyBorder="1" applyAlignment="1">
      <alignment horizontal="right" vertical="center"/>
    </xf>
    <xf numFmtId="49" fontId="2" fillId="2" borderId="6" xfId="1" applyNumberFormat="1" applyFont="1" applyFill="1" applyBorder="1" applyAlignment="1">
      <alignment vertical="center" wrapText="1"/>
    </xf>
    <xf numFmtId="164" fontId="6" fillId="0" borderId="35" xfId="2" applyNumberFormat="1" applyFont="1" applyBorder="1" applyAlignment="1">
      <alignment vertical="center"/>
    </xf>
    <xf numFmtId="4" fontId="6" fillId="30" borderId="6" xfId="2" applyNumberFormat="1" applyFont="1" applyFill="1" applyBorder="1" applyAlignment="1">
      <alignment vertical="center"/>
    </xf>
    <xf numFmtId="4" fontId="6" fillId="0" borderId="0" xfId="2" applyNumberFormat="1" applyFont="1" applyBorder="1" applyAlignment="1">
      <alignment vertical="center"/>
    </xf>
    <xf numFmtId="4" fontId="6" fillId="0" borderId="6" xfId="2" applyNumberFormat="1" applyFont="1" applyBorder="1" applyAlignment="1">
      <alignment horizontal="right" vertical="center"/>
    </xf>
    <xf numFmtId="0" fontId="5" fillId="0" borderId="5" xfId="2" applyFont="1" applyBorder="1" applyAlignment="1">
      <alignment horizontal="left" vertical="center"/>
    </xf>
    <xf numFmtId="0" fontId="5" fillId="0" borderId="6" xfId="2" applyFont="1" applyBorder="1" applyAlignment="1">
      <alignment horizontal="center" vertical="center"/>
    </xf>
    <xf numFmtId="3" fontId="5" fillId="0" borderId="6" xfId="2" applyNumberFormat="1" applyFont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0" fontId="6" fillId="0" borderId="6" xfId="2" applyFont="1" applyBorder="1" applyAlignment="1">
      <alignment horizontal="left" vertical="center"/>
    </xf>
    <xf numFmtId="0" fontId="2" fillId="2" borderId="6" xfId="1" applyFont="1" applyFill="1" applyBorder="1" applyAlignment="1">
      <alignment vertical="center" wrapText="1"/>
    </xf>
    <xf numFmtId="0" fontId="5" fillId="0" borderId="5" xfId="2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center" vertical="center" wrapText="1"/>
    </xf>
    <xf numFmtId="165" fontId="3" fillId="0" borderId="6" xfId="1" applyNumberFormat="1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left" vertical="center" wrapText="1"/>
    </xf>
    <xf numFmtId="164" fontId="6" fillId="0" borderId="35" xfId="2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6" fillId="0" borderId="6" xfId="2" applyNumberFormat="1" applyFont="1" applyFill="1" applyBorder="1" applyAlignment="1">
      <alignment horizontal="right" vertical="center"/>
    </xf>
    <xf numFmtId="0" fontId="6" fillId="0" borderId="0" xfId="2" applyFont="1" applyFill="1" applyAlignment="1">
      <alignment vertical="center"/>
    </xf>
    <xf numFmtId="4" fontId="3" fillId="0" borderId="5" xfId="1" applyNumberFormat="1" applyFont="1" applyFill="1" applyBorder="1" applyAlignment="1">
      <alignment horizontal="left" vertical="center" wrapText="1"/>
    </xf>
    <xf numFmtId="4" fontId="2" fillId="0" borderId="6" xfId="1" applyNumberFormat="1" applyFont="1" applyFill="1" applyBorder="1" applyAlignment="1">
      <alignment vertical="center" wrapText="1"/>
    </xf>
    <xf numFmtId="0" fontId="3" fillId="0" borderId="5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vertical="center" wrapText="1"/>
    </xf>
    <xf numFmtId="0" fontId="2" fillId="0" borderId="6" xfId="4" applyFont="1" applyFill="1" applyBorder="1" applyAlignment="1">
      <alignment horizontal="center" vertical="center" wrapText="1"/>
    </xf>
    <xf numFmtId="4" fontId="2" fillId="0" borderId="6" xfId="4" applyNumberFormat="1" applyFont="1" applyFill="1" applyBorder="1" applyAlignment="1">
      <alignment horizontal="left" vertical="center" wrapText="1"/>
    </xf>
    <xf numFmtId="0" fontId="5" fillId="0" borderId="5" xfId="2" applyFont="1" applyFill="1" applyBorder="1" applyAlignment="1">
      <alignment horizontal="left" vertical="center"/>
    </xf>
    <xf numFmtId="3" fontId="5" fillId="0" borderId="6" xfId="2" applyNumberFormat="1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left" vertical="center"/>
    </xf>
    <xf numFmtId="1" fontId="2" fillId="2" borderId="6" xfId="3" applyNumberFormat="1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left" vertical="center" wrapText="1"/>
    </xf>
    <xf numFmtId="4" fontId="3" fillId="2" borderId="5" xfId="3" applyNumberFormat="1" applyFont="1" applyFill="1" applyBorder="1" applyAlignment="1">
      <alignment horizontal="left" vertical="center" wrapText="1"/>
    </xf>
    <xf numFmtId="0" fontId="3" fillId="2" borderId="6" xfId="3" applyFont="1" applyFill="1" applyBorder="1" applyAlignment="1">
      <alignment horizontal="center" vertical="center" wrapText="1"/>
    </xf>
    <xf numFmtId="165" fontId="3" fillId="2" borderId="6" xfId="3" applyNumberFormat="1" applyFont="1" applyFill="1" applyBorder="1" applyAlignment="1">
      <alignment horizontal="center" vertical="center" wrapText="1"/>
    </xf>
    <xf numFmtId="0" fontId="2" fillId="2" borderId="6" xfId="3" applyFont="1" applyFill="1" applyBorder="1" applyAlignment="1">
      <alignment horizontal="center" vertical="center" wrapText="1"/>
    </xf>
    <xf numFmtId="4" fontId="2" fillId="2" borderId="6" xfId="3" applyNumberFormat="1" applyFont="1" applyFill="1" applyBorder="1" applyAlignment="1">
      <alignment vertical="center" wrapText="1"/>
    </xf>
    <xf numFmtId="4" fontId="2" fillId="2" borderId="6" xfId="1" applyNumberFormat="1" applyFont="1" applyFill="1" applyBorder="1" applyAlignment="1">
      <alignment vertical="center" wrapText="1"/>
    </xf>
    <xf numFmtId="0" fontId="2" fillId="2" borderId="6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5" fillId="0" borderId="9" xfId="2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center" vertical="center" wrapText="1"/>
    </xf>
    <xf numFmtId="165" fontId="3" fillId="0" borderId="10" xfId="1" applyNumberFormat="1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vertical="center" wrapText="1"/>
    </xf>
    <xf numFmtId="164" fontId="6" fillId="2" borderId="35" xfId="2" applyNumberFormat="1" applyFont="1" applyFill="1" applyBorder="1" applyAlignment="1">
      <alignment vertical="center"/>
    </xf>
    <xf numFmtId="4" fontId="3" fillId="2" borderId="5" xfId="1" applyNumberFormat="1" applyFont="1" applyFill="1" applyBorder="1" applyAlignment="1">
      <alignment horizontal="left" vertical="center" wrapText="1"/>
    </xf>
    <xf numFmtId="4" fontId="45" fillId="29" borderId="0" xfId="2" applyNumberFormat="1" applyFont="1" applyFill="1" applyBorder="1" applyAlignment="1">
      <alignment vertical="center"/>
    </xf>
    <xf numFmtId="4" fontId="45" fillId="29" borderId="6" xfId="2" applyNumberFormat="1" applyFont="1" applyFill="1" applyBorder="1" applyAlignment="1">
      <alignment horizontal="right" vertical="center"/>
    </xf>
    <xf numFmtId="49" fontId="2" fillId="0" borderId="6" xfId="1" applyNumberFormat="1" applyFont="1" applyFill="1" applyBorder="1" applyAlignment="1">
      <alignment vertical="center" wrapText="1"/>
    </xf>
    <xf numFmtId="0" fontId="5" fillId="0" borderId="5" xfId="2" applyFont="1" applyFill="1" applyBorder="1" applyAlignment="1">
      <alignment vertical="center" wrapText="1"/>
    </xf>
    <xf numFmtId="4" fontId="2" fillId="0" borderId="6" xfId="1" applyNumberFormat="1" applyFont="1" applyFill="1" applyBorder="1" applyAlignment="1">
      <alignment horizontal="left" vertical="center" wrapText="1"/>
    </xf>
    <xf numFmtId="0" fontId="6" fillId="0" borderId="15" xfId="2" applyFont="1" applyBorder="1" applyAlignment="1">
      <alignment vertical="center"/>
    </xf>
    <xf numFmtId="164" fontId="6" fillId="0" borderId="0" xfId="2" applyNumberFormat="1" applyFont="1" applyBorder="1" applyAlignment="1">
      <alignment vertical="center"/>
    </xf>
    <xf numFmtId="49" fontId="2" fillId="0" borderId="6" xfId="1" applyNumberFormat="1" applyFont="1" applyFill="1" applyBorder="1" applyAlignment="1">
      <alignment horizontal="left" vertical="center" wrapText="1"/>
    </xf>
    <xf numFmtId="0" fontId="6" fillId="0" borderId="6" xfId="2" applyFont="1" applyFill="1" applyBorder="1" applyAlignment="1">
      <alignment vertical="center" wrapText="1"/>
    </xf>
    <xf numFmtId="0" fontId="3" fillId="0" borderId="5" xfId="1" applyNumberFormat="1" applyFont="1" applyFill="1" applyBorder="1" applyAlignment="1">
      <alignment vertical="center" wrapText="1" shrinkToFit="1"/>
    </xf>
    <xf numFmtId="4" fontId="4" fillId="0" borderId="0" xfId="1" applyNumberFormat="1" applyFont="1" applyFill="1" applyBorder="1" applyAlignment="1">
      <alignment horizontal="left" vertical="center" wrapText="1"/>
    </xf>
    <xf numFmtId="0" fontId="5" fillId="0" borderId="15" xfId="2" applyFont="1" applyBorder="1" applyAlignment="1">
      <alignment vertical="center" wrapText="1"/>
    </xf>
    <xf numFmtId="164" fontId="6" fillId="29" borderId="36" xfId="2" applyNumberFormat="1" applyFont="1" applyFill="1" applyBorder="1" applyAlignment="1">
      <alignment vertical="center"/>
    </xf>
    <xf numFmtId="4" fontId="6" fillId="29" borderId="6" xfId="2" applyNumberFormat="1" applyFont="1" applyFill="1" applyBorder="1" applyAlignment="1">
      <alignment vertical="center"/>
    </xf>
    <xf numFmtId="4" fontId="6" fillId="29" borderId="0" xfId="2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horizontal="left" vertical="center" wrapText="1" shrinkToFit="1"/>
    </xf>
    <xf numFmtId="0" fontId="2" fillId="0" borderId="10" xfId="4" applyFont="1" applyFill="1" applyBorder="1" applyAlignment="1">
      <alignment horizontal="center" vertical="center" wrapText="1"/>
    </xf>
    <xf numFmtId="4" fontId="2" fillId="0" borderId="10" xfId="1" applyNumberFormat="1" applyFont="1" applyFill="1" applyBorder="1" applyAlignment="1">
      <alignment horizontal="left" vertical="center" wrapText="1"/>
    </xf>
    <xf numFmtId="164" fontId="6" fillId="2" borderId="36" xfId="2" applyNumberFormat="1" applyFont="1" applyFill="1" applyBorder="1" applyAlignment="1">
      <alignment vertical="center"/>
    </xf>
    <xf numFmtId="4" fontId="6" fillId="0" borderId="10" xfId="2" applyNumberFormat="1" applyFont="1" applyFill="1" applyBorder="1" applyAlignment="1">
      <alignment vertical="center"/>
    </xf>
    <xf numFmtId="4" fontId="6" fillId="0" borderId="10" xfId="2" applyNumberFormat="1" applyFont="1" applyFill="1" applyBorder="1" applyAlignment="1">
      <alignment horizontal="right" vertical="center"/>
    </xf>
    <xf numFmtId="4" fontId="6" fillId="0" borderId="47" xfId="2" applyNumberFormat="1" applyFont="1" applyFill="1" applyBorder="1" applyAlignment="1">
      <alignment vertical="center"/>
    </xf>
    <xf numFmtId="4" fontId="6" fillId="0" borderId="45" xfId="2" applyNumberFormat="1" applyFont="1" applyFill="1" applyBorder="1" applyAlignment="1">
      <alignment horizontal="right" vertical="center"/>
    </xf>
    <xf numFmtId="4" fontId="2" fillId="0" borderId="45" xfId="2" applyNumberFormat="1" applyFont="1" applyBorder="1" applyAlignment="1">
      <alignment vertical="center"/>
    </xf>
    <xf numFmtId="0" fontId="52" fillId="2" borderId="16" xfId="1" applyFont="1" applyFill="1" applyBorder="1" applyAlignment="1">
      <alignment vertical="center" wrapText="1"/>
    </xf>
    <xf numFmtId="0" fontId="52" fillId="2" borderId="17" xfId="1" applyFont="1" applyFill="1" applyBorder="1" applyAlignment="1">
      <alignment vertical="center" wrapText="1"/>
    </xf>
    <xf numFmtId="0" fontId="52" fillId="2" borderId="37" xfId="1" applyFont="1" applyFill="1" applyBorder="1" applyAlignment="1">
      <alignment vertical="center" wrapText="1"/>
    </xf>
    <xf numFmtId="0" fontId="53" fillId="2" borderId="48" xfId="1" applyFont="1" applyFill="1" applyBorder="1" applyAlignment="1">
      <alignment vertical="center" wrapText="1"/>
    </xf>
    <xf numFmtId="0" fontId="54" fillId="2" borderId="49" xfId="1" applyFont="1" applyFill="1" applyBorder="1" applyAlignment="1">
      <alignment horizontal="left" vertical="center" wrapText="1"/>
    </xf>
    <xf numFmtId="164" fontId="54" fillId="2" borderId="50" xfId="1" applyNumberFormat="1" applyFont="1" applyFill="1" applyBorder="1" applyAlignment="1">
      <alignment vertical="center"/>
    </xf>
    <xf numFmtId="4" fontId="54" fillId="28" borderId="49" xfId="0" applyNumberFormat="1" applyFont="1" applyFill="1" applyBorder="1" applyAlignment="1">
      <alignment horizontal="center" vertical="center" wrapText="1"/>
    </xf>
    <xf numFmtId="4" fontId="55" fillId="28" borderId="49" xfId="2" applyNumberFormat="1" applyFont="1" applyFill="1" applyBorder="1" applyAlignment="1">
      <alignment vertical="center"/>
    </xf>
    <xf numFmtId="0" fontId="56" fillId="0" borderId="51" xfId="2" applyFont="1" applyBorder="1" applyAlignment="1">
      <alignment vertical="center"/>
    </xf>
    <xf numFmtId="4" fontId="54" fillId="28" borderId="51" xfId="0" applyNumberFormat="1" applyFont="1" applyFill="1" applyBorder="1" applyAlignment="1">
      <alignment horizontal="center" vertical="center" wrapText="1"/>
    </xf>
    <xf numFmtId="4" fontId="55" fillId="0" borderId="49" xfId="2" applyNumberFormat="1" applyFont="1" applyBorder="1" applyAlignment="1">
      <alignment horizontal="right" vertical="center"/>
    </xf>
    <xf numFmtId="0" fontId="56" fillId="0" borderId="0" xfId="2" applyFont="1" applyAlignment="1">
      <alignment vertical="center"/>
    </xf>
    <xf numFmtId="0" fontId="57" fillId="0" borderId="0" xfId="2" applyFont="1" applyFill="1" applyAlignment="1">
      <alignment vertical="center"/>
    </xf>
    <xf numFmtId="0" fontId="6" fillId="0" borderId="0" xfId="2" applyFont="1" applyFill="1"/>
    <xf numFmtId="2" fontId="6" fillId="0" borderId="0" xfId="2" applyNumberFormat="1" applyFont="1" applyFill="1"/>
    <xf numFmtId="4" fontId="2" fillId="0" borderId="6" xfId="2" applyNumberFormat="1" applyFont="1" applyFill="1" applyBorder="1" applyAlignment="1">
      <alignment horizontal="right" vertical="center"/>
    </xf>
    <xf numFmtId="4" fontId="2" fillId="0" borderId="45" xfId="2" applyNumberFormat="1" applyFont="1" applyFill="1" applyBorder="1" applyAlignment="1">
      <alignment horizontal="right" vertical="center"/>
    </xf>
    <xf numFmtId="4" fontId="49" fillId="28" borderId="6" xfId="1" applyNumberFormat="1" applyFont="1" applyFill="1" applyBorder="1" applyAlignment="1">
      <alignment horizontal="left" vertical="center" wrapText="1"/>
    </xf>
    <xf numFmtId="0" fontId="45" fillId="0" borderId="0" xfId="2" applyFont="1" applyFill="1"/>
    <xf numFmtId="0" fontId="45" fillId="0" borderId="0" xfId="2" applyFont="1" applyFill="1" applyAlignment="1">
      <alignment vertical="center"/>
    </xf>
    <xf numFmtId="0" fontId="6" fillId="0" borderId="0" xfId="2" applyFont="1" applyFill="1" applyBorder="1"/>
    <xf numFmtId="4" fontId="6" fillId="0" borderId="0" xfId="2" applyNumberFormat="1" applyFont="1" applyFill="1" applyBorder="1"/>
    <xf numFmtId="4" fontId="6" fillId="0" borderId="0" xfId="2" applyNumberFormat="1" applyFont="1" applyFill="1" applyBorder="1" applyAlignment="1">
      <alignment horizontal="center" vertical="center"/>
    </xf>
    <xf numFmtId="164" fontId="6" fillId="0" borderId="0" xfId="2" applyNumberFormat="1" applyFont="1" applyFill="1" applyBorder="1" applyAlignment="1">
      <alignment vertical="center"/>
    </xf>
    <xf numFmtId="0" fontId="56" fillId="0" borderId="0" xfId="2" applyFont="1" applyFill="1"/>
    <xf numFmtId="0" fontId="58" fillId="0" borderId="0" xfId="1" applyFont="1" applyFill="1"/>
    <xf numFmtId="0" fontId="58" fillId="0" borderId="0" xfId="1" applyFont="1" applyFill="1" applyAlignment="1">
      <alignment vertical="top"/>
    </xf>
    <xf numFmtId="0" fontId="2" fillId="0" borderId="0" xfId="1" applyFont="1" applyFill="1" applyAlignment="1">
      <alignment horizontal="center" vertical="top" wrapText="1"/>
    </xf>
    <xf numFmtId="0" fontId="2" fillId="0" borderId="5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42" xfId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43" xfId="2" applyFont="1" applyFill="1" applyBorder="1"/>
    <xf numFmtId="0" fontId="45" fillId="0" borderId="0" xfId="2" applyFont="1" applyFill="1" applyBorder="1"/>
    <xf numFmtId="0" fontId="45" fillId="0" borderId="6" xfId="2" applyFont="1" applyFill="1" applyBorder="1"/>
    <xf numFmtId="0" fontId="45" fillId="0" borderId="45" xfId="2" applyFont="1" applyFill="1" applyBorder="1"/>
    <xf numFmtId="0" fontId="45" fillId="0" borderId="0" xfId="2" applyFont="1" applyFill="1" applyBorder="1" applyAlignment="1">
      <alignment vertical="center"/>
    </xf>
    <xf numFmtId="0" fontId="45" fillId="0" borderId="6" xfId="2" applyFont="1" applyFill="1" applyBorder="1" applyAlignment="1">
      <alignment vertical="center"/>
    </xf>
    <xf numFmtId="0" fontId="45" fillId="0" borderId="45" xfId="2" applyFont="1" applyFill="1" applyBorder="1" applyAlignment="1">
      <alignment vertical="center"/>
    </xf>
    <xf numFmtId="0" fontId="6" fillId="0" borderId="6" xfId="2" applyFont="1" applyFill="1" applyBorder="1" applyAlignment="1">
      <alignment vertical="center"/>
    </xf>
    <xf numFmtId="0" fontId="6" fillId="0" borderId="45" xfId="2" applyFont="1" applyFill="1" applyBorder="1" applyAlignment="1">
      <alignment vertical="center"/>
    </xf>
    <xf numFmtId="0" fontId="6" fillId="0" borderId="51" xfId="2" applyFont="1" applyFill="1" applyBorder="1" applyAlignment="1">
      <alignment vertical="center"/>
    </xf>
    <xf numFmtId="4" fontId="45" fillId="0" borderId="49" xfId="2" applyNumberFormat="1" applyFont="1" applyFill="1" applyBorder="1" applyAlignment="1">
      <alignment horizontal="right" vertical="center"/>
    </xf>
    <xf numFmtId="4" fontId="45" fillId="0" borderId="53" xfId="2" applyNumberFormat="1" applyFont="1" applyFill="1" applyBorder="1" applyAlignment="1">
      <alignment horizontal="right" vertical="center"/>
    </xf>
    <xf numFmtId="4" fontId="6" fillId="0" borderId="0" xfId="2" applyNumberFormat="1" applyFont="1" applyFill="1"/>
    <xf numFmtId="164" fontId="6" fillId="0" borderId="0" xfId="2" applyNumberFormat="1" applyFont="1" applyFill="1"/>
    <xf numFmtId="164" fontId="49" fillId="31" borderId="35" xfId="2" applyNumberFormat="1" applyFont="1" applyFill="1" applyBorder="1"/>
    <xf numFmtId="0" fontId="48" fillId="31" borderId="5" xfId="2" applyFont="1" applyFill="1" applyBorder="1" applyAlignment="1">
      <alignment horizontal="left" vertical="top"/>
    </xf>
    <xf numFmtId="0" fontId="48" fillId="31" borderId="6" xfId="2" applyFont="1" applyFill="1" applyBorder="1" applyAlignment="1">
      <alignment horizontal="center" vertical="top"/>
    </xf>
    <xf numFmtId="3" fontId="48" fillId="31" borderId="6" xfId="2" applyNumberFormat="1" applyFont="1" applyFill="1" applyBorder="1" applyAlignment="1">
      <alignment horizontal="center" vertical="top"/>
    </xf>
    <xf numFmtId="0" fontId="49" fillId="31" borderId="6" xfId="1" applyFont="1" applyFill="1" applyBorder="1" applyAlignment="1">
      <alignment horizontal="center" vertical="center" wrapText="1"/>
    </xf>
    <xf numFmtId="0" fontId="49" fillId="31" borderId="6" xfId="2" applyFont="1" applyFill="1" applyBorder="1" applyAlignment="1">
      <alignment horizontal="left" vertical="center"/>
    </xf>
    <xf numFmtId="4" fontId="49" fillId="31" borderId="6" xfId="2" applyNumberFormat="1" applyFont="1" applyFill="1" applyBorder="1" applyAlignment="1">
      <alignment vertical="center"/>
    </xf>
    <xf numFmtId="164" fontId="49" fillId="31" borderId="6" xfId="2" applyNumberFormat="1" applyFont="1" applyFill="1" applyBorder="1" applyAlignment="1">
      <alignment vertical="center"/>
    </xf>
    <xf numFmtId="0" fontId="49" fillId="31" borderId="6" xfId="1" applyFont="1" applyFill="1" applyBorder="1" applyAlignment="1">
      <alignment vertical="center" wrapText="1"/>
    </xf>
    <xf numFmtId="1" fontId="49" fillId="31" borderId="6" xfId="3" applyNumberFormat="1" applyFont="1" applyFill="1" applyBorder="1" applyAlignment="1">
      <alignment horizontal="center" vertical="center" wrapText="1"/>
    </xf>
    <xf numFmtId="0" fontId="49" fillId="31" borderId="6" xfId="2" applyFont="1" applyFill="1" applyBorder="1" applyAlignment="1">
      <alignment horizontal="left" vertical="center" wrapText="1"/>
    </xf>
    <xf numFmtId="4" fontId="48" fillId="31" borderId="5" xfId="3" applyNumberFormat="1" applyFont="1" applyFill="1" applyBorder="1" applyAlignment="1">
      <alignment horizontal="left" vertical="top" wrapText="1"/>
    </xf>
    <xf numFmtId="165" fontId="48" fillId="31" borderId="6" xfId="3" applyNumberFormat="1" applyFont="1" applyFill="1" applyBorder="1" applyAlignment="1">
      <alignment horizontal="center" vertical="top" wrapText="1"/>
    </xf>
    <xf numFmtId="0" fontId="49" fillId="31" borderId="6" xfId="3" applyFont="1" applyFill="1" applyBorder="1" applyAlignment="1">
      <alignment horizontal="center" vertical="center" wrapText="1"/>
    </xf>
    <xf numFmtId="4" fontId="49" fillId="31" borderId="6" xfId="3" applyNumberFormat="1" applyFont="1" applyFill="1" applyBorder="1" applyAlignment="1">
      <alignment vertical="center" wrapText="1"/>
    </xf>
    <xf numFmtId="4" fontId="49" fillId="31" borderId="6" xfId="1" applyNumberFormat="1" applyFont="1" applyFill="1" applyBorder="1" applyAlignment="1">
      <alignment vertical="center" wrapText="1"/>
    </xf>
    <xf numFmtId="4" fontId="48" fillId="31" borderId="5" xfId="1" applyNumberFormat="1" applyFont="1" applyFill="1" applyBorder="1" applyAlignment="1">
      <alignment horizontal="left" vertical="top" wrapText="1"/>
    </xf>
    <xf numFmtId="4" fontId="48" fillId="31" borderId="5" xfId="1" applyNumberFormat="1" applyFont="1" applyFill="1" applyBorder="1" applyAlignment="1">
      <alignment horizontal="left" vertical="center" wrapText="1"/>
    </xf>
    <xf numFmtId="0" fontId="48" fillId="31" borderId="6" xfId="1" applyFont="1" applyFill="1" applyBorder="1" applyAlignment="1">
      <alignment horizontal="center" vertical="center" wrapText="1"/>
    </xf>
    <xf numFmtId="165" fontId="48" fillId="31" borderId="6" xfId="1" applyNumberFormat="1" applyFont="1" applyFill="1" applyBorder="1" applyAlignment="1">
      <alignment horizontal="center" vertical="center" wrapText="1"/>
    </xf>
    <xf numFmtId="0" fontId="49" fillId="31" borderId="6" xfId="1" applyFont="1" applyFill="1" applyBorder="1" applyAlignment="1">
      <alignment horizontal="left" vertical="center" wrapText="1"/>
    </xf>
    <xf numFmtId="164" fontId="49" fillId="31" borderId="35" xfId="2" applyNumberFormat="1" applyFont="1" applyFill="1" applyBorder="1" applyAlignment="1">
      <alignment vertical="center"/>
    </xf>
    <xf numFmtId="4" fontId="47" fillId="31" borderId="6" xfId="2" applyNumberFormat="1" applyFont="1" applyFill="1" applyBorder="1" applyAlignment="1">
      <alignment vertical="center"/>
    </xf>
    <xf numFmtId="164" fontId="47" fillId="31" borderId="6" xfId="2" applyNumberFormat="1" applyFont="1" applyFill="1" applyBorder="1" applyAlignment="1">
      <alignment vertical="center"/>
    </xf>
    <xf numFmtId="49" fontId="49" fillId="31" borderId="6" xfId="1" applyNumberFormat="1" applyFont="1" applyFill="1" applyBorder="1" applyAlignment="1">
      <alignment vertical="center" wrapText="1"/>
    </xf>
    <xf numFmtId="0" fontId="48" fillId="31" borderId="5" xfId="2" applyFont="1" applyFill="1" applyBorder="1" applyAlignment="1">
      <alignment horizontal="left" vertical="center"/>
    </xf>
    <xf numFmtId="0" fontId="48" fillId="31" borderId="5" xfId="2" applyFont="1" applyFill="1" applyBorder="1" applyAlignment="1">
      <alignment horizontal="left" vertical="center" wrapText="1"/>
    </xf>
    <xf numFmtId="0" fontId="48" fillId="31" borderId="5" xfId="1" applyFont="1" applyFill="1" applyBorder="1" applyAlignment="1">
      <alignment horizontal="left" vertical="center" wrapText="1"/>
    </xf>
    <xf numFmtId="49" fontId="49" fillId="31" borderId="6" xfId="1" applyNumberFormat="1" applyFont="1" applyFill="1" applyBorder="1" applyAlignment="1">
      <alignment horizontal="left" vertical="center" wrapText="1"/>
    </xf>
    <xf numFmtId="0" fontId="48" fillId="31" borderId="5" xfId="2" applyFont="1" applyFill="1" applyBorder="1" applyAlignment="1">
      <alignment vertical="center" wrapText="1"/>
    </xf>
    <xf numFmtId="0" fontId="49" fillId="31" borderId="6" xfId="2" applyFont="1" applyFill="1" applyBorder="1" applyAlignment="1">
      <alignment vertical="center" wrapText="1"/>
    </xf>
    <xf numFmtId="4" fontId="49" fillId="31" borderId="6" xfId="1" applyNumberFormat="1" applyFont="1" applyFill="1" applyBorder="1" applyAlignment="1">
      <alignment horizontal="left" vertical="center" wrapText="1"/>
    </xf>
    <xf numFmtId="3" fontId="48" fillId="31" borderId="6" xfId="2" applyNumberFormat="1" applyFont="1" applyFill="1" applyBorder="1" applyAlignment="1">
      <alignment horizontal="center" vertical="center"/>
    </xf>
    <xf numFmtId="0" fontId="49" fillId="31" borderId="6" xfId="2" applyFont="1" applyFill="1" applyBorder="1" applyAlignment="1">
      <alignment horizontal="center" vertical="center"/>
    </xf>
    <xf numFmtId="164" fontId="49" fillId="31" borderId="35" xfId="2" applyNumberFormat="1" applyFont="1" applyFill="1" applyBorder="1" applyAlignment="1">
      <alignment horizontal="right" vertical="center"/>
    </xf>
    <xf numFmtId="4" fontId="49" fillId="31" borderId="6" xfId="2" applyNumberFormat="1" applyFont="1" applyFill="1" applyBorder="1" applyAlignment="1">
      <alignment horizontal="right" vertical="center"/>
    </xf>
    <xf numFmtId="0" fontId="49" fillId="31" borderId="0" xfId="2" applyFont="1" applyFill="1" applyBorder="1" applyAlignment="1">
      <alignment vertical="center" wrapText="1"/>
    </xf>
    <xf numFmtId="0" fontId="48" fillId="31" borderId="15" xfId="0" applyFont="1" applyFill="1" applyBorder="1" applyAlignment="1">
      <alignment vertical="center"/>
    </xf>
    <xf numFmtId="0" fontId="49" fillId="31" borderId="6" xfId="4" applyFont="1" applyFill="1" applyBorder="1" applyAlignment="1">
      <alignment horizontal="center" vertical="center" wrapText="1"/>
    </xf>
    <xf numFmtId="4" fontId="49" fillId="31" borderId="6" xfId="4" applyNumberFormat="1" applyFont="1" applyFill="1" applyBorder="1" applyAlignment="1">
      <alignment horizontal="left" vertical="center" wrapText="1"/>
    </xf>
    <xf numFmtId="0" fontId="48" fillId="31" borderId="5" xfId="1" applyNumberFormat="1" applyFont="1" applyFill="1" applyBorder="1" applyAlignment="1">
      <alignment vertical="center" wrapText="1" shrinkToFit="1"/>
    </xf>
    <xf numFmtId="4" fontId="46" fillId="31" borderId="3" xfId="1" applyNumberFormat="1" applyFont="1" applyFill="1" applyBorder="1" applyAlignment="1">
      <alignment vertical="center" wrapText="1"/>
    </xf>
    <xf numFmtId="4" fontId="46" fillId="31" borderId="4" xfId="1" applyNumberFormat="1" applyFont="1" applyFill="1" applyBorder="1" applyAlignment="1">
      <alignment vertical="center" wrapText="1"/>
    </xf>
    <xf numFmtId="4" fontId="46" fillId="31" borderId="6" xfId="1" applyNumberFormat="1" applyFont="1" applyFill="1" applyBorder="1" applyAlignment="1">
      <alignment vertical="center" wrapText="1"/>
    </xf>
    <xf numFmtId="4" fontId="46" fillId="31" borderId="38" xfId="1" applyNumberFormat="1" applyFont="1" applyFill="1" applyBorder="1" applyAlignment="1">
      <alignment vertical="center" wrapText="1"/>
    </xf>
    <xf numFmtId="4" fontId="46" fillId="31" borderId="6" xfId="1" applyNumberFormat="1" applyFont="1" applyFill="1" applyBorder="1" applyAlignment="1">
      <alignment horizontal="left" vertical="top" wrapText="1"/>
    </xf>
    <xf numFmtId="4" fontId="46" fillId="31" borderId="38" xfId="1" applyNumberFormat="1" applyFont="1" applyFill="1" applyBorder="1" applyAlignment="1">
      <alignment horizontal="left" vertical="center" wrapText="1"/>
    </xf>
    <xf numFmtId="0" fontId="48" fillId="31" borderId="15" xfId="2" applyFont="1" applyFill="1" applyBorder="1" applyAlignment="1">
      <alignment vertical="center" wrapText="1"/>
    </xf>
    <xf numFmtId="164" fontId="49" fillId="31" borderId="40" xfId="2" applyNumberFormat="1" applyFont="1" applyFill="1" applyBorder="1"/>
    <xf numFmtId="4" fontId="49" fillId="31" borderId="12" xfId="2" applyNumberFormat="1" applyFont="1" applyFill="1" applyBorder="1" applyAlignment="1">
      <alignment vertical="center"/>
    </xf>
    <xf numFmtId="164" fontId="49" fillId="31" borderId="6" xfId="2" applyNumberFormat="1" applyFont="1" applyFill="1" applyBorder="1"/>
    <xf numFmtId="4" fontId="49" fillId="31" borderId="38" xfId="2" applyNumberFormat="1" applyFont="1" applyFill="1" applyBorder="1" applyAlignment="1">
      <alignment vertical="center"/>
    </xf>
    <xf numFmtId="0" fontId="48" fillId="31" borderId="9" xfId="2" applyFont="1" applyFill="1" applyBorder="1" applyAlignment="1">
      <alignment vertical="center" wrapText="1"/>
    </xf>
    <xf numFmtId="0" fontId="49" fillId="31" borderId="10" xfId="4" applyFont="1" applyFill="1" applyBorder="1" applyAlignment="1">
      <alignment horizontal="center" vertical="center" wrapText="1"/>
    </xf>
    <xf numFmtId="4" fontId="49" fillId="31" borderId="10" xfId="1" applyNumberFormat="1" applyFont="1" applyFill="1" applyBorder="1" applyAlignment="1">
      <alignment horizontal="left" vertical="center" wrapText="1"/>
    </xf>
    <xf numFmtId="164" fontId="49" fillId="31" borderId="36" xfId="2" applyNumberFormat="1" applyFont="1" applyFill="1" applyBorder="1"/>
    <xf numFmtId="4" fontId="49" fillId="31" borderId="10" xfId="2" applyNumberFormat="1" applyFont="1" applyFill="1" applyBorder="1"/>
    <xf numFmtId="164" fontId="49" fillId="31" borderId="10" xfId="2" applyNumberFormat="1" applyFont="1" applyFill="1" applyBorder="1"/>
    <xf numFmtId="0" fontId="46" fillId="31" borderId="48" xfId="1" applyFont="1" applyFill="1" applyBorder="1" applyAlignment="1">
      <alignment vertical="center" wrapText="1"/>
    </xf>
    <xf numFmtId="0" fontId="46" fillId="31" borderId="49" xfId="1" applyFont="1" applyFill="1" applyBorder="1" applyAlignment="1">
      <alignment vertical="center" wrapText="1"/>
    </xf>
    <xf numFmtId="0" fontId="49" fillId="31" borderId="49" xfId="1" applyFont="1" applyFill="1" applyBorder="1" applyAlignment="1">
      <alignment vertical="center" wrapText="1"/>
    </xf>
    <xf numFmtId="0" fontId="47" fillId="31" borderId="49" xfId="1" applyFont="1" applyFill="1" applyBorder="1" applyAlignment="1">
      <alignment horizontal="left" vertical="center" wrapText="1"/>
    </xf>
    <xf numFmtId="164" fontId="47" fillId="31" borderId="50" xfId="1" applyNumberFormat="1" applyFont="1" applyFill="1" applyBorder="1" applyAlignment="1">
      <alignment vertical="center"/>
    </xf>
    <xf numFmtId="4" fontId="47" fillId="31" borderId="49" xfId="2" applyNumberFormat="1" applyFont="1" applyFill="1" applyBorder="1" applyAlignment="1">
      <alignment vertical="center"/>
    </xf>
    <xf numFmtId="4" fontId="47" fillId="31" borderId="49" xfId="0" applyNumberFormat="1" applyFont="1" applyFill="1" applyBorder="1" applyAlignment="1">
      <alignment horizontal="center" vertical="center" wrapText="1"/>
    </xf>
    <xf numFmtId="164" fontId="49" fillId="31" borderId="0" xfId="2" applyNumberFormat="1" applyFont="1" applyFill="1"/>
    <xf numFmtId="4" fontId="49" fillId="31" borderId="0" xfId="2" applyNumberFormat="1" applyFont="1" applyFill="1"/>
    <xf numFmtId="0" fontId="48" fillId="31" borderId="6" xfId="1" applyFont="1" applyFill="1" applyBorder="1" applyAlignment="1">
      <alignment horizontal="center" vertical="top" wrapText="1"/>
    </xf>
    <xf numFmtId="165" fontId="48" fillId="31" borderId="6" xfId="1" applyNumberFormat="1" applyFont="1" applyFill="1" applyBorder="1" applyAlignment="1">
      <alignment horizontal="center" vertical="top" wrapText="1"/>
    </xf>
    <xf numFmtId="0" fontId="48" fillId="31" borderId="9" xfId="2" applyFont="1" applyFill="1" applyBorder="1" applyAlignment="1">
      <alignment horizontal="left" vertical="center" wrapText="1"/>
    </xf>
    <xf numFmtId="0" fontId="48" fillId="31" borderId="10" xfId="1" applyFont="1" applyFill="1" applyBorder="1" applyAlignment="1">
      <alignment horizontal="center" vertical="center" wrapText="1"/>
    </xf>
    <xf numFmtId="165" fontId="48" fillId="31" borderId="10" xfId="1" applyNumberFormat="1" applyFont="1" applyFill="1" applyBorder="1" applyAlignment="1">
      <alignment horizontal="center" vertical="center" wrapText="1"/>
    </xf>
    <xf numFmtId="0" fontId="48" fillId="31" borderId="6" xfId="3" applyFont="1" applyFill="1" applyBorder="1" applyAlignment="1">
      <alignment horizontal="center" vertical="top" wrapText="1"/>
    </xf>
    <xf numFmtId="0" fontId="6" fillId="0" borderId="42" xfId="2" applyFont="1" applyFill="1" applyBorder="1" applyAlignment="1">
      <alignment vertical="center" wrapText="1"/>
    </xf>
    <xf numFmtId="0" fontId="46" fillId="31" borderId="3" xfId="1" applyNumberFormat="1" applyFont="1" applyFill="1" applyBorder="1" applyAlignment="1">
      <alignment vertical="top" wrapText="1" shrinkToFit="1"/>
    </xf>
    <xf numFmtId="0" fontId="46" fillId="31" borderId="4" xfId="1" applyNumberFormat="1" applyFont="1" applyFill="1" applyBorder="1" applyAlignment="1">
      <alignment vertical="top" wrapText="1" shrinkToFit="1"/>
    </xf>
    <xf numFmtId="0" fontId="46" fillId="31" borderId="38" xfId="1" applyNumberFormat="1" applyFont="1" applyFill="1" applyBorder="1" applyAlignment="1">
      <alignment vertical="top" wrapText="1" shrinkToFit="1"/>
    </xf>
    <xf numFmtId="4" fontId="47" fillId="0" borderId="38" xfId="2" applyNumberFormat="1" applyFont="1" applyFill="1" applyBorder="1"/>
    <xf numFmtId="4" fontId="47" fillId="31" borderId="38" xfId="2" applyNumberFormat="1" applyFont="1" applyFill="1" applyBorder="1" applyAlignment="1">
      <alignment vertical="center"/>
    </xf>
    <xf numFmtId="4" fontId="49" fillId="31" borderId="38" xfId="2" applyNumberFormat="1" applyFont="1" applyFill="1" applyBorder="1" applyAlignment="1">
      <alignment horizontal="right" vertical="center"/>
    </xf>
    <xf numFmtId="4" fontId="49" fillId="31" borderId="54" xfId="2" applyNumberFormat="1" applyFont="1" applyFill="1" applyBorder="1" applyAlignment="1">
      <alignment vertical="center"/>
    </xf>
    <xf numFmtId="4" fontId="49" fillId="31" borderId="55" xfId="2" applyNumberFormat="1" applyFont="1" applyFill="1" applyBorder="1"/>
    <xf numFmtId="4" fontId="47" fillId="31" borderId="56" xfId="2" applyNumberFormat="1" applyFont="1" applyFill="1" applyBorder="1" applyAlignment="1">
      <alignment vertical="center"/>
    </xf>
    <xf numFmtId="0" fontId="6" fillId="0" borderId="44" xfId="2" applyFont="1" applyFill="1" applyBorder="1" applyAlignment="1">
      <alignment horizontal="center" vertical="center" wrapText="1"/>
    </xf>
    <xf numFmtId="4" fontId="47" fillId="0" borderId="45" xfId="2" applyNumberFormat="1" applyFont="1" applyFill="1" applyBorder="1"/>
    <xf numFmtId="164" fontId="49" fillId="31" borderId="45" xfId="2" applyNumberFormat="1" applyFont="1" applyFill="1" applyBorder="1" applyAlignment="1">
      <alignment vertical="center"/>
    </xf>
    <xf numFmtId="4" fontId="47" fillId="31" borderId="45" xfId="2" applyNumberFormat="1" applyFont="1" applyFill="1" applyBorder="1" applyAlignment="1">
      <alignment vertical="center"/>
    </xf>
    <xf numFmtId="4" fontId="49" fillId="31" borderId="45" xfId="2" applyNumberFormat="1" applyFont="1" applyFill="1" applyBorder="1" applyAlignment="1">
      <alignment vertical="center"/>
    </xf>
    <xf numFmtId="164" fontId="49" fillId="0" borderId="45" xfId="2" applyNumberFormat="1" applyFont="1" applyFill="1" applyBorder="1" applyAlignment="1">
      <alignment vertical="center"/>
    </xf>
    <xf numFmtId="164" fontId="2" fillId="31" borderId="45" xfId="2" applyNumberFormat="1" applyFont="1" applyFill="1" applyBorder="1" applyAlignment="1">
      <alignment vertical="center"/>
    </xf>
    <xf numFmtId="164" fontId="49" fillId="31" borderId="45" xfId="2" applyNumberFormat="1" applyFont="1" applyFill="1" applyBorder="1" applyAlignment="1">
      <alignment horizontal="right" vertical="center"/>
    </xf>
    <xf numFmtId="4" fontId="46" fillId="31" borderId="45" xfId="1" applyNumberFormat="1" applyFont="1" applyFill="1" applyBorder="1" applyAlignment="1">
      <alignment vertical="center" wrapText="1"/>
    </xf>
    <xf numFmtId="164" fontId="49" fillId="31" borderId="57" xfId="2" applyNumberFormat="1" applyFont="1" applyFill="1" applyBorder="1" applyAlignment="1">
      <alignment vertical="center"/>
    </xf>
    <xf numFmtId="0" fontId="46" fillId="31" borderId="58" xfId="1" applyNumberFormat="1" applyFont="1" applyFill="1" applyBorder="1" applyAlignment="1">
      <alignment vertical="top" wrapText="1" shrinkToFit="1"/>
    </xf>
    <xf numFmtId="164" fontId="49" fillId="31" borderId="47" xfId="2" applyNumberFormat="1" applyFont="1" applyFill="1" applyBorder="1" applyAlignment="1">
      <alignment vertical="center"/>
    </xf>
    <xf numFmtId="164" fontId="47" fillId="31" borderId="53" xfId="0" applyNumberFormat="1" applyFont="1" applyFill="1" applyBorder="1" applyAlignment="1">
      <alignment horizontal="right" vertical="center" wrapText="1"/>
    </xf>
    <xf numFmtId="0" fontId="48" fillId="31" borderId="5" xfId="1" applyFont="1" applyFill="1" applyBorder="1" applyAlignment="1">
      <alignment horizontal="left" vertical="top" wrapText="1"/>
    </xf>
    <xf numFmtId="0" fontId="48" fillId="31" borderId="6" xfId="1" applyFont="1" applyFill="1" applyBorder="1" applyAlignment="1">
      <alignment horizontal="center" vertical="top" wrapText="1"/>
    </xf>
    <xf numFmtId="165" fontId="48" fillId="31" borderId="6" xfId="1" applyNumberFormat="1" applyFont="1" applyFill="1" applyBorder="1" applyAlignment="1">
      <alignment horizontal="center" vertical="top" wrapText="1"/>
    </xf>
    <xf numFmtId="0" fontId="49" fillId="31" borderId="0" xfId="2" applyFont="1" applyFill="1" applyBorder="1" applyAlignment="1">
      <alignment horizontal="left" vertical="center"/>
    </xf>
    <xf numFmtId="0" fontId="48" fillId="31" borderId="9" xfId="2" applyFont="1" applyFill="1" applyBorder="1" applyAlignment="1">
      <alignment horizontal="left" vertical="center" wrapText="1"/>
    </xf>
    <xf numFmtId="0" fontId="48" fillId="31" borderId="13" xfId="2" applyFont="1" applyFill="1" applyBorder="1" applyAlignment="1">
      <alignment horizontal="left" vertical="center" wrapText="1"/>
    </xf>
    <xf numFmtId="0" fontId="48" fillId="31" borderId="10" xfId="1" applyFont="1" applyFill="1" applyBorder="1" applyAlignment="1">
      <alignment horizontal="center" vertical="center" wrapText="1"/>
    </xf>
    <xf numFmtId="0" fontId="48" fillId="31" borderId="14" xfId="1" applyFont="1" applyFill="1" applyBorder="1" applyAlignment="1">
      <alignment horizontal="center" vertical="center" wrapText="1"/>
    </xf>
    <xf numFmtId="165" fontId="48" fillId="31" borderId="10" xfId="1" applyNumberFormat="1" applyFont="1" applyFill="1" applyBorder="1" applyAlignment="1">
      <alignment horizontal="center" vertical="center" wrapText="1"/>
    </xf>
    <xf numFmtId="165" fontId="48" fillId="31" borderId="14" xfId="1" applyNumberFormat="1" applyFont="1" applyFill="1" applyBorder="1" applyAlignment="1">
      <alignment horizontal="center" vertical="center" wrapText="1"/>
    </xf>
    <xf numFmtId="4" fontId="46" fillId="31" borderId="3" xfId="1" applyNumberFormat="1" applyFont="1" applyFill="1" applyBorder="1" applyAlignment="1">
      <alignment horizontal="left" vertical="center" wrapText="1"/>
    </xf>
    <xf numFmtId="4" fontId="46" fillId="31" borderId="4" xfId="1" applyNumberFormat="1" applyFont="1" applyFill="1" applyBorder="1" applyAlignment="1">
      <alignment horizontal="left" vertical="center" wrapText="1"/>
    </xf>
    <xf numFmtId="0" fontId="48" fillId="31" borderId="12" xfId="1" applyFont="1" applyFill="1" applyBorder="1" applyAlignment="1">
      <alignment horizontal="center" vertical="center" wrapText="1"/>
    </xf>
    <xf numFmtId="165" fontId="48" fillId="31" borderId="12" xfId="1" applyNumberFormat="1" applyFont="1" applyFill="1" applyBorder="1" applyAlignment="1">
      <alignment horizontal="center" vertical="center" wrapText="1"/>
    </xf>
    <xf numFmtId="0" fontId="48" fillId="31" borderId="11" xfId="2" applyFont="1" applyFill="1" applyBorder="1" applyAlignment="1">
      <alignment horizontal="left" vertical="center" wrapText="1"/>
    </xf>
    <xf numFmtId="4" fontId="46" fillId="31" borderId="7" xfId="1" applyNumberFormat="1" applyFont="1" applyFill="1" applyBorder="1" applyAlignment="1">
      <alignment horizontal="left" vertical="center" wrapText="1"/>
    </xf>
    <xf numFmtId="4" fontId="46" fillId="31" borderId="8" xfId="1" applyNumberFormat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 vertical="top" wrapText="1"/>
    </xf>
    <xf numFmtId="166" fontId="48" fillId="31" borderId="6" xfId="2" applyNumberFormat="1" applyFont="1" applyFill="1" applyBorder="1" applyAlignment="1">
      <alignment horizontal="center" vertical="top"/>
    </xf>
    <xf numFmtId="0" fontId="54" fillId="0" borderId="0" xfId="1" applyFont="1" applyFill="1" applyBorder="1" applyAlignment="1">
      <alignment horizontal="center" vertical="center" wrapText="1"/>
    </xf>
    <xf numFmtId="0" fontId="54" fillId="0" borderId="1" xfId="1" applyFont="1" applyFill="1" applyBorder="1" applyAlignment="1">
      <alignment horizontal="center" vertical="center" wrapText="1"/>
    </xf>
    <xf numFmtId="0" fontId="50" fillId="31" borderId="9" xfId="1" applyFont="1" applyFill="1" applyBorder="1" applyAlignment="1">
      <alignment horizontal="left" vertical="top" wrapText="1"/>
    </xf>
    <xf numFmtId="0" fontId="50" fillId="31" borderId="13" xfId="1" applyFont="1" applyFill="1" applyBorder="1" applyAlignment="1">
      <alignment horizontal="left" vertical="top" wrapText="1"/>
    </xf>
    <xf numFmtId="0" fontId="48" fillId="31" borderId="10" xfId="1" applyFont="1" applyFill="1" applyBorder="1" applyAlignment="1">
      <alignment horizontal="center" vertical="top" wrapText="1"/>
    </xf>
    <xf numFmtId="0" fontId="48" fillId="31" borderId="14" xfId="1" applyFont="1" applyFill="1" applyBorder="1" applyAlignment="1">
      <alignment horizontal="center" vertical="top" wrapText="1"/>
    </xf>
    <xf numFmtId="165" fontId="48" fillId="31" borderId="10" xfId="1" applyNumberFormat="1" applyFont="1" applyFill="1" applyBorder="1" applyAlignment="1">
      <alignment horizontal="center" vertical="top" wrapText="1"/>
    </xf>
    <xf numFmtId="165" fontId="48" fillId="31" borderId="14" xfId="1" applyNumberFormat="1" applyFont="1" applyFill="1" applyBorder="1" applyAlignment="1">
      <alignment horizontal="center" vertical="top" wrapText="1"/>
    </xf>
    <xf numFmtId="0" fontId="48" fillId="31" borderId="5" xfId="2" applyFont="1" applyFill="1" applyBorder="1" applyAlignment="1">
      <alignment horizontal="left" vertical="top" wrapText="1"/>
    </xf>
    <xf numFmtId="0" fontId="48" fillId="31" borderId="6" xfId="3" applyFont="1" applyFill="1" applyBorder="1" applyAlignment="1">
      <alignment horizontal="center" vertical="top" wrapText="1"/>
    </xf>
    <xf numFmtId="0" fontId="6" fillId="0" borderId="39" xfId="2" applyFont="1" applyFill="1" applyBorder="1" applyAlignment="1">
      <alignment horizontal="center" vertical="center" wrapText="1"/>
    </xf>
    <xf numFmtId="0" fontId="6" fillId="0" borderId="42" xfId="2" applyFont="1" applyFill="1" applyBorder="1" applyAlignment="1">
      <alignment horizontal="center" vertical="center" wrapText="1"/>
    </xf>
    <xf numFmtId="4" fontId="46" fillId="0" borderId="3" xfId="1" applyNumberFormat="1" applyFont="1" applyFill="1" applyBorder="1" applyAlignment="1">
      <alignment horizontal="left" vertical="top" wrapText="1"/>
    </xf>
    <xf numFmtId="4" fontId="46" fillId="0" borderId="4" xfId="1" applyNumberFormat="1" applyFont="1" applyFill="1" applyBorder="1" applyAlignment="1">
      <alignment horizontal="left" vertical="top" wrapText="1"/>
    </xf>
    <xf numFmtId="0" fontId="2" fillId="2" borderId="0" xfId="1" applyFont="1" applyFill="1" applyAlignment="1">
      <alignment horizontal="center" vertical="top" wrapText="1"/>
    </xf>
    <xf numFmtId="0" fontId="2" fillId="2" borderId="30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41" xfId="1" applyFont="1" applyFill="1" applyBorder="1" applyAlignment="1">
      <alignment horizontal="center" vertical="center" wrapText="1"/>
    </xf>
    <xf numFmtId="0" fontId="2" fillId="2" borderId="14" xfId="1" applyFont="1" applyFill="1" applyBorder="1" applyAlignment="1">
      <alignment horizontal="center" vertical="center" wrapText="1"/>
    </xf>
    <xf numFmtId="0" fontId="2" fillId="2" borderId="31" xfId="1" applyFont="1" applyFill="1" applyBorder="1" applyAlignment="1">
      <alignment horizontal="center" vertical="center" wrapText="1"/>
    </xf>
    <xf numFmtId="0" fontId="2" fillId="2" borderId="32" xfId="1" applyFont="1" applyFill="1" applyBorder="1" applyAlignment="1">
      <alignment horizontal="center" vertical="center" wrapText="1"/>
    </xf>
    <xf numFmtId="164" fontId="2" fillId="2" borderId="33" xfId="1" applyNumberFormat="1" applyFont="1" applyFill="1" applyBorder="1" applyAlignment="1">
      <alignment horizontal="center" vertical="center" wrapText="1"/>
    </xf>
    <xf numFmtId="164" fontId="2" fillId="2" borderId="34" xfId="1" applyNumberFormat="1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4" fontId="4" fillId="29" borderId="3" xfId="1" applyNumberFormat="1" applyFont="1" applyFill="1" applyBorder="1" applyAlignment="1">
      <alignment horizontal="left" vertical="top" wrapText="1"/>
    </xf>
    <xf numFmtId="4" fontId="4" fillId="29" borderId="4" xfId="1" applyNumberFormat="1" applyFont="1" applyFill="1" applyBorder="1" applyAlignment="1">
      <alignment horizontal="left" vertical="top" wrapText="1"/>
    </xf>
    <xf numFmtId="0" fontId="3" fillId="2" borderId="5" xfId="1" applyFont="1" applyFill="1" applyBorder="1" applyAlignment="1">
      <alignment horizontal="left" vertical="top" wrapText="1"/>
    </xf>
    <xf numFmtId="0" fontId="3" fillId="2" borderId="6" xfId="1" applyFont="1" applyFill="1" applyBorder="1" applyAlignment="1">
      <alignment horizontal="center" vertical="top" wrapText="1"/>
    </xf>
    <xf numFmtId="165" fontId="3" fillId="2" borderId="6" xfId="1" applyNumberFormat="1" applyFont="1" applyFill="1" applyBorder="1" applyAlignment="1">
      <alignment horizontal="center" vertical="top" wrapText="1"/>
    </xf>
    <xf numFmtId="4" fontId="4" fillId="29" borderId="3" xfId="1" applyNumberFormat="1" applyFont="1" applyFill="1" applyBorder="1" applyAlignment="1">
      <alignment horizontal="left" vertical="center" wrapText="1"/>
    </xf>
    <xf numFmtId="4" fontId="4" fillId="29" borderId="4" xfId="1" applyNumberFormat="1" applyFont="1" applyFill="1" applyBorder="1" applyAlignment="1">
      <alignment horizontal="left" vertical="center" wrapText="1"/>
    </xf>
    <xf numFmtId="0" fontId="5" fillId="0" borderId="9" xfId="2" applyFont="1" applyFill="1" applyBorder="1" applyAlignment="1">
      <alignment horizontal="left" vertical="center" wrapText="1"/>
    </xf>
    <xf numFmtId="0" fontId="5" fillId="0" borderId="11" xfId="2" applyFont="1" applyFill="1" applyBorder="1" applyAlignment="1">
      <alignment horizontal="left" vertical="center" wrapText="1"/>
    </xf>
    <xf numFmtId="0" fontId="5" fillId="0" borderId="13" xfId="2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165" fontId="3" fillId="0" borderId="10" xfId="1" applyNumberFormat="1" applyFont="1" applyFill="1" applyBorder="1" applyAlignment="1">
      <alignment horizontal="center" vertical="center" wrapText="1"/>
    </xf>
    <xf numFmtId="165" fontId="3" fillId="0" borderId="12" xfId="1" applyNumberFormat="1" applyFont="1" applyFill="1" applyBorder="1" applyAlignment="1">
      <alignment horizontal="center" vertical="center" wrapText="1"/>
    </xf>
    <xf numFmtId="165" fontId="3" fillId="0" borderId="14" xfId="1" applyNumberFormat="1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left" vertical="center" wrapText="1"/>
    </xf>
    <xf numFmtId="0" fontId="3" fillId="2" borderId="6" xfId="3" applyFont="1" applyFill="1" applyBorder="1" applyAlignment="1">
      <alignment horizontal="center" vertical="center" wrapText="1"/>
    </xf>
    <xf numFmtId="166" fontId="5" fillId="2" borderId="6" xfId="2" applyNumberFormat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center" vertical="center" wrapText="1"/>
    </xf>
    <xf numFmtId="165" fontId="3" fillId="2" borderId="6" xfId="1" applyNumberFormat="1" applyFont="1" applyFill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44" xfId="2" applyFont="1" applyBorder="1" applyAlignment="1">
      <alignment horizontal="center" vertical="center" wrapText="1"/>
    </xf>
    <xf numFmtId="0" fontId="6" fillId="0" borderId="45" xfId="2" applyFont="1" applyBorder="1" applyAlignment="1">
      <alignment horizontal="center" vertical="center" wrapText="1"/>
    </xf>
    <xf numFmtId="0" fontId="54" fillId="2" borderId="1" xfId="1" applyFont="1" applyFill="1" applyBorder="1" applyAlignment="1">
      <alignment horizontal="center" vertical="center" wrapText="1"/>
    </xf>
    <xf numFmtId="0" fontId="6" fillId="0" borderId="0" xfId="2" applyFont="1" applyBorder="1" applyAlignment="1">
      <alignment horizontal="left" vertical="center"/>
    </xf>
    <xf numFmtId="0" fontId="6" fillId="0" borderId="41" xfId="2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4" fontId="4" fillId="0" borderId="3" xfId="1" applyNumberFormat="1" applyFont="1" applyFill="1" applyBorder="1" applyAlignment="1">
      <alignment horizontal="left" vertical="center" wrapText="1"/>
    </xf>
    <xf numFmtId="4" fontId="4" fillId="0" borderId="4" xfId="1" applyNumberFormat="1" applyFont="1" applyFill="1" applyBorder="1" applyAlignment="1">
      <alignment horizontal="left" vertical="center" wrapText="1"/>
    </xf>
    <xf numFmtId="4" fontId="4" fillId="0" borderId="38" xfId="1" applyNumberFormat="1" applyFont="1" applyFill="1" applyBorder="1" applyAlignment="1">
      <alignment horizontal="left" vertical="center" wrapText="1"/>
    </xf>
    <xf numFmtId="0" fontId="4" fillId="0" borderId="3" xfId="1" applyNumberFormat="1" applyFont="1" applyFill="1" applyBorder="1" applyAlignment="1">
      <alignment horizontal="left" vertical="center" wrapText="1" shrinkToFit="1"/>
    </xf>
    <xf numFmtId="0" fontId="4" fillId="0" borderId="4" xfId="1" applyNumberFormat="1" applyFont="1" applyFill="1" applyBorder="1" applyAlignment="1">
      <alignment horizontal="left" vertical="center" wrapText="1" shrinkToFit="1"/>
    </xf>
    <xf numFmtId="0" fontId="4" fillId="0" borderId="38" xfId="1" applyNumberFormat="1" applyFont="1" applyFill="1" applyBorder="1" applyAlignment="1">
      <alignment horizontal="left" vertical="center" wrapText="1" shrinkToFit="1"/>
    </xf>
    <xf numFmtId="4" fontId="4" fillId="29" borderId="7" xfId="1" applyNumberFormat="1" applyFont="1" applyFill="1" applyBorder="1" applyAlignment="1">
      <alignment horizontal="left" vertical="center" wrapText="1"/>
    </xf>
    <xf numFmtId="4" fontId="4" fillId="29" borderId="8" xfId="1" applyNumberFormat="1" applyFont="1" applyFill="1" applyBorder="1" applyAlignment="1">
      <alignment horizontal="left" vertical="center" wrapText="1"/>
    </xf>
  </cellXfs>
  <cellStyles count="187">
    <cellStyle name="20% - Акцент1" xfId="5"/>
    <cellStyle name="20% - Акцент1 2" xfId="6"/>
    <cellStyle name="20% - Акцент1 3" xfId="7"/>
    <cellStyle name="20% - Акцент1_Додаток №6" xfId="8"/>
    <cellStyle name="20% - Акцент2" xfId="9"/>
    <cellStyle name="20% - Акцент2 2" xfId="10"/>
    <cellStyle name="20% - Акцент2 3" xfId="11"/>
    <cellStyle name="20% - Акцент2_Додаток №6" xfId="12"/>
    <cellStyle name="20% - Акцент3" xfId="13"/>
    <cellStyle name="20% - Акцент3 2" xfId="14"/>
    <cellStyle name="20% - Акцент3 3" xfId="15"/>
    <cellStyle name="20% - Акцент3_Додаток №6" xfId="16"/>
    <cellStyle name="20% - Акцент4" xfId="17"/>
    <cellStyle name="20% - Акцент4 2" xfId="18"/>
    <cellStyle name="20% - Акцент4 3" xfId="19"/>
    <cellStyle name="20% - Акцент4_Додаток №6" xfId="20"/>
    <cellStyle name="20% - Акцент5" xfId="21"/>
    <cellStyle name="20% - Акцент5 2" xfId="22"/>
    <cellStyle name="20% - Акцент5 3" xfId="23"/>
    <cellStyle name="20% - Акцент6" xfId="24"/>
    <cellStyle name="20% - Акцент6 2" xfId="25"/>
    <cellStyle name="20% - Акцент6 3" xfId="26"/>
    <cellStyle name="20% - Акцент6_Додаток №6" xfId="27"/>
    <cellStyle name="40% - Акцент1" xfId="28"/>
    <cellStyle name="40% - Акцент1 2" xfId="29"/>
    <cellStyle name="40% - Акцент1 3" xfId="30"/>
    <cellStyle name="40% - Акцент1_Додаток №6" xfId="31"/>
    <cellStyle name="40% - Акцент2" xfId="32"/>
    <cellStyle name="40% - Акцент2 2" xfId="33"/>
    <cellStyle name="40% - Акцент2 3" xfId="34"/>
    <cellStyle name="40% - Акцент3" xfId="35"/>
    <cellStyle name="40% - Акцент3 2" xfId="36"/>
    <cellStyle name="40% - Акцент3 3" xfId="37"/>
    <cellStyle name="40% - Акцент3_Додаток №6" xfId="38"/>
    <cellStyle name="40% - Акцент4" xfId="39"/>
    <cellStyle name="40% - Акцент4 2" xfId="40"/>
    <cellStyle name="40% - Акцент4 3" xfId="41"/>
    <cellStyle name="40% - Акцент4_Додаток №6" xfId="42"/>
    <cellStyle name="40% - Акцент5" xfId="43"/>
    <cellStyle name="40% - Акцент5 2" xfId="44"/>
    <cellStyle name="40% - Акцент5 3" xfId="45"/>
    <cellStyle name="40% - Акцент5_Додаток №6" xfId="46"/>
    <cellStyle name="40% - Акцент6" xfId="47"/>
    <cellStyle name="40% - Акцент6 2" xfId="48"/>
    <cellStyle name="40% - Акцент6 3" xfId="49"/>
    <cellStyle name="40% - Акцент6_Додаток №6" xfId="50"/>
    <cellStyle name="60% - Акцент1" xfId="51"/>
    <cellStyle name="60% - Акцент1 2" xfId="52"/>
    <cellStyle name="60% - Акцент1 3" xfId="53"/>
    <cellStyle name="60% - Акцент1_Додаток №6" xfId="54"/>
    <cellStyle name="60% - Акцент2" xfId="55"/>
    <cellStyle name="60% - Акцент2 2" xfId="56"/>
    <cellStyle name="60% - Акцент2_Додаток №6" xfId="57"/>
    <cellStyle name="60% - Акцент3" xfId="58"/>
    <cellStyle name="60% - Акцент3 2" xfId="59"/>
    <cellStyle name="60% - Акцент3_Додаток №6" xfId="60"/>
    <cellStyle name="60% - Акцент4" xfId="61"/>
    <cellStyle name="60% - Акцент4 2" xfId="62"/>
    <cellStyle name="60% - Акцент4_Додаток №6" xfId="63"/>
    <cellStyle name="60% - Акцент5" xfId="64"/>
    <cellStyle name="60% - Акцент5 2" xfId="65"/>
    <cellStyle name="60% - Акцент5_Додаток №6" xfId="66"/>
    <cellStyle name="60% - Акцент6" xfId="67"/>
    <cellStyle name="60% - Акцент6 2" xfId="68"/>
    <cellStyle name="60% - Акцент6_Додаток №6" xfId="69"/>
    <cellStyle name="Normal_meresha_07" xfId="70"/>
    <cellStyle name="Акцент1" xfId="71"/>
    <cellStyle name="Акцент1 2" xfId="72"/>
    <cellStyle name="Акцент1 3" xfId="73"/>
    <cellStyle name="Акцент1_Додаток №6" xfId="74"/>
    <cellStyle name="Акцент2" xfId="75"/>
    <cellStyle name="Акцент2 2" xfId="76"/>
    <cellStyle name="Акцент2_Додаток №6" xfId="77"/>
    <cellStyle name="Акцент3" xfId="78"/>
    <cellStyle name="Акцент3 2" xfId="79"/>
    <cellStyle name="Акцент3_Додаток №6" xfId="80"/>
    <cellStyle name="Акцент4" xfId="81"/>
    <cellStyle name="Акцент4 2" xfId="82"/>
    <cellStyle name="Акцент4 3" xfId="83"/>
    <cellStyle name="Акцент4_Додаток №6" xfId="84"/>
    <cellStyle name="Акцент5" xfId="85"/>
    <cellStyle name="Акцент5 2" xfId="86"/>
    <cellStyle name="Акцент6" xfId="87"/>
    <cellStyle name="Акцент6 2" xfId="88"/>
    <cellStyle name="Акцент6_Додаток №6" xfId="89"/>
    <cellStyle name="Ввод " xfId="90"/>
    <cellStyle name="Ввод  2" xfId="91"/>
    <cellStyle name="Ввод _Додаток №6" xfId="92"/>
    <cellStyle name="Вывод" xfId="93"/>
    <cellStyle name="Вывод 2" xfId="94"/>
    <cellStyle name="Вывод 3" xfId="95"/>
    <cellStyle name="Вывод_Додаток №6" xfId="96"/>
    <cellStyle name="Вычисление" xfId="97"/>
    <cellStyle name="Вычисление 2" xfId="98"/>
    <cellStyle name="Вычисление 3" xfId="99"/>
    <cellStyle name="Вычисление_Додаток №6" xfId="100"/>
    <cellStyle name="Заголовок 1 2" xfId="101"/>
    <cellStyle name="Заголовок 2 2" xfId="102"/>
    <cellStyle name="Заголовок 3 2" xfId="103"/>
    <cellStyle name="Заголовок 4 2" xfId="104"/>
    <cellStyle name="Звичайний" xfId="0" builtinId="0"/>
    <cellStyle name="Звичайний 10" xfId="105"/>
    <cellStyle name="Звичайний 11" xfId="106"/>
    <cellStyle name="Звичайний 12" xfId="107"/>
    <cellStyle name="Звичайний 13" xfId="108"/>
    <cellStyle name="Звичайний 14" xfId="109"/>
    <cellStyle name="Звичайний 15" xfId="110"/>
    <cellStyle name="Звичайний 16" xfId="111"/>
    <cellStyle name="Звичайний 17" xfId="112"/>
    <cellStyle name="Звичайний 18" xfId="113"/>
    <cellStyle name="Звичайний 19" xfId="114"/>
    <cellStyle name="Звичайний 2" xfId="115"/>
    <cellStyle name="Звичайний 2 2" xfId="116"/>
    <cellStyle name="Звичайний 2_Додаток №6" xfId="117"/>
    <cellStyle name="Звичайний 20" xfId="118"/>
    <cellStyle name="Звичайний 21" xfId="119"/>
    <cellStyle name="Звичайний 22" xfId="120"/>
    <cellStyle name="Звичайний 23" xfId="121"/>
    <cellStyle name="Звичайний 24" xfId="122"/>
    <cellStyle name="Звичайний 25" xfId="123"/>
    <cellStyle name="Звичайний 26" xfId="124"/>
    <cellStyle name="Звичайний 27" xfId="125"/>
    <cellStyle name="Звичайний 28" xfId="126"/>
    <cellStyle name="Звичайний 29" xfId="127"/>
    <cellStyle name="Звичайний 3" xfId="128"/>
    <cellStyle name="Звичайний 30" xfId="129"/>
    <cellStyle name="Звичайний 31" xfId="130"/>
    <cellStyle name="Звичайний 32" xfId="131"/>
    <cellStyle name="Звичайний 33" xfId="132"/>
    <cellStyle name="Звичайний 34" xfId="133"/>
    <cellStyle name="Звичайний 4" xfId="134"/>
    <cellStyle name="Звичайний 4 2" xfId="135"/>
    <cellStyle name="Звичайний 5" xfId="136"/>
    <cellStyle name="Звичайний 6" xfId="137"/>
    <cellStyle name="Звичайний 7" xfId="138"/>
    <cellStyle name="Звичайний 8" xfId="139"/>
    <cellStyle name="Звичайний 9" xfId="140"/>
    <cellStyle name="Звичайний_Додаток №9" xfId="2"/>
    <cellStyle name="Звичайний_Додаток_9_06-12-2012" xfId="1"/>
    <cellStyle name="Звичайний_Додаток_9_06-12-2012_Додаток №9" xfId="3"/>
    <cellStyle name="Итог" xfId="141"/>
    <cellStyle name="Итог 2" xfId="142"/>
    <cellStyle name="Итог 3" xfId="143"/>
    <cellStyle name="Итог_Додаток №6" xfId="144"/>
    <cellStyle name="Контрольная ячейка" xfId="145"/>
    <cellStyle name="Контрольная ячейка 2" xfId="146"/>
    <cellStyle name="Контрольная ячейка_Додаток №9" xfId="147"/>
    <cellStyle name="Название" xfId="148"/>
    <cellStyle name="Название 2" xfId="149"/>
    <cellStyle name="Название_Додаток №6" xfId="150"/>
    <cellStyle name="Нейтральный" xfId="151"/>
    <cellStyle name="Нейтральный 2" xfId="152"/>
    <cellStyle name="Нейтральный_Додаток №6" xfId="153"/>
    <cellStyle name="Нейтральный_Додаток_9_06-12-2012" xfId="4"/>
    <cellStyle name="Обычный 2" xfId="154"/>
    <cellStyle name="Обычный 3" xfId="155"/>
    <cellStyle name="Обычный 3 2" xfId="156"/>
    <cellStyle name="Обычный_Лист1" xfId="157"/>
    <cellStyle name="Плохой" xfId="158"/>
    <cellStyle name="Плохой 2" xfId="159"/>
    <cellStyle name="Плохой_Додаток №6" xfId="160"/>
    <cellStyle name="Пояснение" xfId="161"/>
    <cellStyle name="Пояснение 2" xfId="162"/>
    <cellStyle name="Примечание" xfId="163"/>
    <cellStyle name="Примечание 2" xfId="164"/>
    <cellStyle name="Примечание_Додаток №9" xfId="165"/>
    <cellStyle name="Процентный 2" xfId="166"/>
    <cellStyle name="Процентный 2 2" xfId="167"/>
    <cellStyle name="Процентный 3" xfId="168"/>
    <cellStyle name="Процентный 3 2" xfId="169"/>
    <cellStyle name="Связанная ячейка" xfId="170"/>
    <cellStyle name="Связанная ячейка 2" xfId="171"/>
    <cellStyle name="Связанная ячейка_Додаток №6" xfId="172"/>
    <cellStyle name="Стиль 1" xfId="173"/>
    <cellStyle name="Текст предупреждения" xfId="174"/>
    <cellStyle name="Текст предупреждения 2" xfId="175"/>
    <cellStyle name="Тысячи [0]_Додаток №1" xfId="176"/>
    <cellStyle name="Тысячи_Додаток №1" xfId="177"/>
    <cellStyle name="Финансовый 2" xfId="178"/>
    <cellStyle name="Финансовый 2 2" xfId="179"/>
    <cellStyle name="Финансовый 3" xfId="180"/>
    <cellStyle name="Финансовый 3 2" xfId="181"/>
    <cellStyle name="Фінансовий 2" xfId="182"/>
    <cellStyle name="Фінансовий 2 2" xfId="183"/>
    <cellStyle name="Хороший" xfId="184"/>
    <cellStyle name="Хороший 2" xfId="185"/>
    <cellStyle name="Хороший_Додаток №6" xfId="1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tabSelected="1" zoomScaleNormal="100" zoomScaleSheetLayoutView="70" zoomScalePageLayoutView="44" workbookViewId="0">
      <selection activeCell="G57" sqref="G57"/>
    </sheetView>
  </sheetViews>
  <sheetFormatPr defaultColWidth="8.7109375" defaultRowHeight="15.75" x14ac:dyDescent="0.25"/>
  <cols>
    <col min="1" max="1" width="70.42578125" style="144" customWidth="1"/>
    <col min="2" max="2" width="20.7109375" style="144" bestFit="1" customWidth="1"/>
    <col min="3" max="3" width="16.7109375" style="144" bestFit="1" customWidth="1"/>
    <col min="4" max="4" width="16.42578125" style="144" customWidth="1"/>
    <col min="5" max="5" width="106" style="144" customWidth="1"/>
    <col min="6" max="6" width="20.7109375" style="177" hidden="1" customWidth="1"/>
    <col min="7" max="7" width="20.140625" style="177" customWidth="1"/>
    <col min="8" max="8" width="17" style="144" hidden="1" customWidth="1"/>
    <col min="9" max="9" width="19.7109375" style="144" hidden="1" customWidth="1"/>
    <col min="10" max="10" width="17.7109375" style="144" hidden="1" customWidth="1"/>
    <col min="11" max="11" width="17.28515625" style="144" hidden="1" customWidth="1"/>
    <col min="12" max="12" width="18.140625" style="144" hidden="1" customWidth="1"/>
    <col min="13" max="13" width="18.5703125" style="144" hidden="1" customWidth="1"/>
    <col min="14" max="14" width="15" style="144" hidden="1" customWidth="1"/>
    <col min="15" max="15" width="20.28515625" style="144" hidden="1" customWidth="1"/>
    <col min="16" max="16" width="21" style="144" hidden="1" customWidth="1"/>
    <col min="17" max="18" width="8.7109375" style="144"/>
    <col min="19" max="19" width="28.5703125" style="144" customWidth="1"/>
    <col min="20" max="16384" width="8.7109375" style="144"/>
  </cols>
  <sheetData>
    <row r="1" spans="1:19" x14ac:dyDescent="0.25">
      <c r="A1" s="156"/>
      <c r="B1" s="157"/>
      <c r="C1" s="156"/>
      <c r="D1" s="156"/>
      <c r="E1" s="291"/>
      <c r="F1" s="291"/>
      <c r="G1" s="158"/>
    </row>
    <row r="2" spans="1:19" ht="93" customHeight="1" x14ac:dyDescent="0.25">
      <c r="A2" s="156"/>
      <c r="B2" s="157"/>
      <c r="C2" s="156"/>
      <c r="D2" s="156"/>
      <c r="E2" s="291" t="s">
        <v>100</v>
      </c>
      <c r="F2" s="291"/>
      <c r="G2" s="291"/>
    </row>
    <row r="3" spans="1:19" s="155" customFormat="1" ht="43.5" customHeight="1" thickBot="1" x14ac:dyDescent="0.3">
      <c r="A3" s="293" t="s">
        <v>103</v>
      </c>
      <c r="B3" s="293"/>
      <c r="C3" s="293"/>
      <c r="D3" s="293"/>
      <c r="E3" s="293"/>
      <c r="F3" s="293"/>
      <c r="G3" s="293"/>
      <c r="H3" s="294"/>
      <c r="I3" s="294"/>
      <c r="J3" s="294"/>
      <c r="K3" s="294"/>
      <c r="L3" s="294"/>
      <c r="M3" s="294"/>
      <c r="N3" s="294"/>
      <c r="O3" s="294"/>
      <c r="P3" s="294"/>
    </row>
    <row r="4" spans="1:19" ht="132" customHeight="1" x14ac:dyDescent="0.25">
      <c r="A4" s="159" t="s">
        <v>1</v>
      </c>
      <c r="B4" s="160" t="s">
        <v>2</v>
      </c>
      <c r="C4" s="160" t="s">
        <v>3</v>
      </c>
      <c r="D4" s="160" t="s">
        <v>4</v>
      </c>
      <c r="E4" s="161" t="s">
        <v>5</v>
      </c>
      <c r="F4" s="162" t="s">
        <v>6</v>
      </c>
      <c r="G4" s="261" t="s">
        <v>78</v>
      </c>
      <c r="H4" s="251"/>
      <c r="I4" s="163" t="s">
        <v>84</v>
      </c>
      <c r="J4" s="303" t="s">
        <v>79</v>
      </c>
      <c r="K4" s="304"/>
      <c r="L4" s="303" t="s">
        <v>80</v>
      </c>
      <c r="M4" s="304"/>
      <c r="N4" s="164"/>
      <c r="O4" s="163" t="s">
        <v>94</v>
      </c>
      <c r="P4" s="163" t="s">
        <v>95</v>
      </c>
    </row>
    <row r="5" spans="1:19" s="149" customFormat="1" ht="22.5" customHeight="1" x14ac:dyDescent="0.25">
      <c r="A5" s="305" t="s">
        <v>7</v>
      </c>
      <c r="B5" s="306"/>
      <c r="C5" s="306"/>
      <c r="D5" s="306"/>
      <c r="E5" s="306"/>
      <c r="F5" s="16" t="e">
        <f>#REF!+#REF!+#REF!+F6+#REF!+F7+F9+F10+F12+F13+F14+F15+F16+F17+F11</f>
        <v>#REF!</v>
      </c>
      <c r="G5" s="262"/>
      <c r="H5" s="255" t="e">
        <f>#REF!+#REF!+#REF!+H6+#REF!+H7+H9+H10+H12+H13+H14+H15+H16+H17+H11</f>
        <v>#REF!</v>
      </c>
      <c r="I5" s="17">
        <f>SUM(I6:I17)</f>
        <v>172073.99999999997</v>
      </c>
      <c r="J5" s="16" t="e">
        <f>#REF!+#REF!+#REF!+J6+#REF!+J7+J9+J10+J12+J13+J14+J15+J16+J17+J11</f>
        <v>#REF!</v>
      </c>
      <c r="K5" s="16" t="e">
        <f>#REF!+#REF!+#REF!+K6+#REF!+K7+K9+K10+K12+K13+K14+K15+K16+K17+K11</f>
        <v>#REF!</v>
      </c>
      <c r="L5" s="16" t="e">
        <f>#REF!+#REF!+#REF!+L6+#REF!+L7+L9+L10+L12+L13+L14+L15+L16+L17+L11</f>
        <v>#REF!</v>
      </c>
      <c r="M5" s="16" t="e">
        <f>#REF!+#REF!+#REF!+M6+#REF!+M7+M9+M10+M12+M13+M14+M15+M16+M17+M11</f>
        <v>#REF!</v>
      </c>
      <c r="N5" s="165"/>
      <c r="O5" s="166"/>
      <c r="P5" s="167"/>
    </row>
    <row r="6" spans="1:19" ht="27.95" customHeight="1" x14ac:dyDescent="0.25">
      <c r="A6" s="179" t="s">
        <v>14</v>
      </c>
      <c r="B6" s="180" t="s">
        <v>9</v>
      </c>
      <c r="C6" s="181">
        <v>500000</v>
      </c>
      <c r="D6" s="182">
        <v>1101610</v>
      </c>
      <c r="E6" s="183" t="s">
        <v>15</v>
      </c>
      <c r="F6" s="178">
        <v>30500</v>
      </c>
      <c r="G6" s="263">
        <v>400000</v>
      </c>
      <c r="H6" s="229">
        <f>G6*1.88</f>
        <v>752000</v>
      </c>
      <c r="I6" s="185">
        <f>ROUND(G6/27.8,1)</f>
        <v>14388.5</v>
      </c>
      <c r="J6" s="184">
        <f>3072.1*1000/2.85</f>
        <v>1077929.8245614034</v>
      </c>
      <c r="K6" s="184">
        <f>J6*0.52</f>
        <v>560523.50877192977</v>
      </c>
      <c r="L6" s="184">
        <f>J6*0.94</f>
        <v>1013254.0350877191</v>
      </c>
      <c r="M6" s="184">
        <v>1277994</v>
      </c>
      <c r="N6" s="78" t="e">
        <f>G6+#REF!+G30</f>
        <v>#REF!</v>
      </c>
      <c r="O6" s="37">
        <v>1064330.17</v>
      </c>
      <c r="P6" s="47">
        <v>999654.39</v>
      </c>
    </row>
    <row r="7" spans="1:19" ht="24.75" customHeight="1" x14ac:dyDescent="0.25">
      <c r="A7" s="295" t="s">
        <v>90</v>
      </c>
      <c r="B7" s="297" t="s">
        <v>9</v>
      </c>
      <c r="C7" s="299">
        <v>378425</v>
      </c>
      <c r="D7" s="182">
        <v>1101640</v>
      </c>
      <c r="E7" s="186" t="s">
        <v>17</v>
      </c>
      <c r="F7" s="178">
        <v>235920</v>
      </c>
      <c r="G7" s="263">
        <f>571.5*1000</f>
        <v>571500</v>
      </c>
      <c r="H7" s="229">
        <f>G7*1.88</f>
        <v>1074420</v>
      </c>
      <c r="I7" s="185">
        <f t="shared" ref="I7:I17" si="0">ROUND(G7/27.8,1)</f>
        <v>20557.599999999999</v>
      </c>
      <c r="J7" s="184">
        <f>2887.4*1000/2.85</f>
        <v>1013122.8070175438</v>
      </c>
      <c r="K7" s="184">
        <f t="shared" ref="K7:K17" si="1">J7*0.52</f>
        <v>526823.85964912281</v>
      </c>
      <c r="L7" s="184">
        <f t="shared" ref="L7:L13" si="2">J7*0.94</f>
        <v>952335.43859649112</v>
      </c>
      <c r="M7" s="184">
        <v>1201158</v>
      </c>
      <c r="N7" s="78">
        <f>G7</f>
        <v>571500</v>
      </c>
      <c r="O7" s="37">
        <v>1013122.8</v>
      </c>
      <c r="P7" s="47">
        <v>952335.4</v>
      </c>
    </row>
    <row r="8" spans="1:19" ht="24.75" customHeight="1" x14ac:dyDescent="0.25">
      <c r="A8" s="296"/>
      <c r="B8" s="298"/>
      <c r="C8" s="300"/>
      <c r="D8" s="182">
        <v>1101630</v>
      </c>
      <c r="E8" s="186" t="s">
        <v>11</v>
      </c>
      <c r="F8" s="178"/>
      <c r="G8" s="263">
        <v>19357.900000000001</v>
      </c>
      <c r="H8" s="229"/>
      <c r="I8" s="185">
        <f t="shared" si="0"/>
        <v>696.3</v>
      </c>
      <c r="J8" s="184"/>
      <c r="K8" s="184"/>
      <c r="L8" s="184"/>
      <c r="M8" s="184"/>
      <c r="N8" s="78"/>
      <c r="O8" s="37">
        <v>13599.7</v>
      </c>
      <c r="P8" s="47">
        <v>13599.7</v>
      </c>
    </row>
    <row r="9" spans="1:19" ht="19.5" customHeight="1" x14ac:dyDescent="0.25">
      <c r="A9" s="301" t="s">
        <v>19</v>
      </c>
      <c r="B9" s="302" t="s">
        <v>9</v>
      </c>
      <c r="C9" s="292">
        <v>214729.837</v>
      </c>
      <c r="D9" s="187">
        <v>2301610</v>
      </c>
      <c r="E9" s="188" t="s">
        <v>20</v>
      </c>
      <c r="F9" s="178">
        <f>33020.4+148.8</f>
        <v>33169.200000000004</v>
      </c>
      <c r="G9" s="263">
        <f>150*1000</f>
        <v>150000</v>
      </c>
      <c r="H9" s="229">
        <f>G9*1.88-100000</f>
        <v>182000</v>
      </c>
      <c r="I9" s="185">
        <f t="shared" si="0"/>
        <v>5395.7</v>
      </c>
      <c r="J9" s="184">
        <f>108.3*1000/2.85</f>
        <v>38000</v>
      </c>
      <c r="K9" s="184">
        <f t="shared" si="1"/>
        <v>19760</v>
      </c>
      <c r="L9" s="184">
        <f t="shared" si="2"/>
        <v>35720</v>
      </c>
      <c r="M9" s="184">
        <v>45052</v>
      </c>
      <c r="N9" s="78">
        <f>G9</f>
        <v>150000</v>
      </c>
      <c r="O9" s="37">
        <v>38000</v>
      </c>
      <c r="P9" s="47">
        <v>35720</v>
      </c>
    </row>
    <row r="10" spans="1:19" ht="52.5" customHeight="1" x14ac:dyDescent="0.25">
      <c r="A10" s="301"/>
      <c r="B10" s="302"/>
      <c r="C10" s="292"/>
      <c r="D10" s="187">
        <v>2311600</v>
      </c>
      <c r="E10" s="188" t="s">
        <v>21</v>
      </c>
      <c r="F10" s="178">
        <f>129738.8+49976.6</f>
        <v>179715.4</v>
      </c>
      <c r="G10" s="263">
        <f>500*1000</f>
        <v>500000</v>
      </c>
      <c r="H10" s="229">
        <f>G10*1.88+100000</f>
        <v>1040000</v>
      </c>
      <c r="I10" s="185">
        <f t="shared" si="0"/>
        <v>17985.599999999999</v>
      </c>
      <c r="J10" s="184">
        <f>363*1000/2.85</f>
        <v>127368.42105263157</v>
      </c>
      <c r="K10" s="184">
        <f t="shared" si="1"/>
        <v>66231.578947368427</v>
      </c>
      <c r="L10" s="184">
        <f t="shared" si="2"/>
        <v>119726.31578947367</v>
      </c>
      <c r="M10" s="184">
        <f t="shared" ref="M10:M17" si="3">K10*0.8</f>
        <v>52985.263157894748</v>
      </c>
      <c r="N10" s="78">
        <f>G10</f>
        <v>500000</v>
      </c>
      <c r="O10" s="37">
        <v>127368.4</v>
      </c>
      <c r="P10" s="47">
        <v>119726.3</v>
      </c>
    </row>
    <row r="11" spans="1:19" ht="33.4" customHeight="1" x14ac:dyDescent="0.25">
      <c r="A11" s="189" t="s">
        <v>22</v>
      </c>
      <c r="B11" s="250" t="s">
        <v>9</v>
      </c>
      <c r="C11" s="190">
        <v>300000</v>
      </c>
      <c r="D11" s="191">
        <v>2501630</v>
      </c>
      <c r="E11" s="192" t="s">
        <v>23</v>
      </c>
      <c r="F11" s="178">
        <v>274686.40000000002</v>
      </c>
      <c r="G11" s="263">
        <f>500*1000</f>
        <v>500000</v>
      </c>
      <c r="H11" s="229">
        <f>G11*1.88</f>
        <v>940000</v>
      </c>
      <c r="I11" s="185">
        <f t="shared" si="0"/>
        <v>17985.599999999999</v>
      </c>
      <c r="J11" s="184">
        <f>431.9*1000/2.85</f>
        <v>151543.85964912281</v>
      </c>
      <c r="K11" s="184">
        <f t="shared" si="1"/>
        <v>78802.807017543862</v>
      </c>
      <c r="L11" s="184">
        <f t="shared" si="2"/>
        <v>142451.22807017542</v>
      </c>
      <c r="M11" s="184">
        <v>179670</v>
      </c>
      <c r="N11" s="78">
        <f>G11</f>
        <v>500000</v>
      </c>
      <c r="O11" s="37">
        <v>151543.9</v>
      </c>
      <c r="P11" s="47">
        <v>142451.29999999999</v>
      </c>
      <c r="S11" s="177"/>
    </row>
    <row r="12" spans="1:19" ht="49.35" customHeight="1" x14ac:dyDescent="0.25">
      <c r="A12" s="274" t="s">
        <v>24</v>
      </c>
      <c r="B12" s="275" t="s">
        <v>9</v>
      </c>
      <c r="C12" s="276">
        <v>350000</v>
      </c>
      <c r="D12" s="182">
        <v>2751600</v>
      </c>
      <c r="E12" s="193" t="s">
        <v>25</v>
      </c>
      <c r="F12" s="178">
        <f>501588.9</f>
        <v>501588.9</v>
      </c>
      <c r="G12" s="263">
        <f>501.6*1000</f>
        <v>501600</v>
      </c>
      <c r="H12" s="229">
        <f>G12*1.88</f>
        <v>943008</v>
      </c>
      <c r="I12" s="185">
        <f t="shared" si="0"/>
        <v>18043.2</v>
      </c>
      <c r="J12" s="184">
        <f>4778*1000/2.85</f>
        <v>1676491.2280701753</v>
      </c>
      <c r="K12" s="184">
        <f>J12*0.52-1000000</f>
        <v>-128224.56140350888</v>
      </c>
      <c r="L12" s="184">
        <f t="shared" si="2"/>
        <v>1575901.7543859647</v>
      </c>
      <c r="M12" s="184">
        <f t="shared" si="3"/>
        <v>-102579.64912280711</v>
      </c>
      <c r="N12" s="78">
        <f>G12+G14+G35+G49</f>
        <v>1401800</v>
      </c>
      <c r="O12" s="37">
        <v>1676491.23</v>
      </c>
      <c r="P12" s="47">
        <v>1575901.75</v>
      </c>
    </row>
    <row r="13" spans="1:19" ht="73.5" customHeight="1" x14ac:dyDescent="0.25">
      <c r="A13" s="274"/>
      <c r="B13" s="275"/>
      <c r="C13" s="276"/>
      <c r="D13" s="182">
        <v>2751610</v>
      </c>
      <c r="E13" s="193" t="s">
        <v>102</v>
      </c>
      <c r="F13" s="178">
        <v>10154.700000000001</v>
      </c>
      <c r="G13" s="263">
        <f>10.2*1000</f>
        <v>10200</v>
      </c>
      <c r="H13" s="229">
        <f>G13*1.88</f>
        <v>19176</v>
      </c>
      <c r="I13" s="185">
        <f t="shared" si="0"/>
        <v>366.9</v>
      </c>
      <c r="J13" s="184">
        <f>151.2*1000/2.85</f>
        <v>53052.631578947367</v>
      </c>
      <c r="K13" s="184">
        <f t="shared" si="1"/>
        <v>27587.36842105263</v>
      </c>
      <c r="L13" s="184">
        <f t="shared" si="2"/>
        <v>49869.473684210519</v>
      </c>
      <c r="M13" s="184">
        <v>62900</v>
      </c>
      <c r="N13" s="78">
        <f>G13+G15+G40</f>
        <v>38800</v>
      </c>
      <c r="O13" s="37">
        <v>53052.63</v>
      </c>
      <c r="P13" s="47">
        <v>49869.47</v>
      </c>
    </row>
    <row r="14" spans="1:19" ht="47.25" x14ac:dyDescent="0.25">
      <c r="A14" s="274" t="s">
        <v>27</v>
      </c>
      <c r="B14" s="275" t="s">
        <v>9</v>
      </c>
      <c r="C14" s="276">
        <v>315500</v>
      </c>
      <c r="D14" s="182">
        <v>2751600</v>
      </c>
      <c r="E14" s="193" t="s">
        <v>25</v>
      </c>
      <c r="F14" s="178">
        <v>526048.69999999995</v>
      </c>
      <c r="G14" s="263">
        <f>600*1000</f>
        <v>600000</v>
      </c>
      <c r="H14" s="229">
        <f>G14*1.88</f>
        <v>1128000</v>
      </c>
      <c r="I14" s="185">
        <f t="shared" si="0"/>
        <v>21582.7</v>
      </c>
      <c r="J14" s="184">
        <f>1814.4*1000/2.85</f>
        <v>636631.57894736843</v>
      </c>
      <c r="K14" s="184">
        <f>J14*0.52+1000000</f>
        <v>1331048.4210526315</v>
      </c>
      <c r="L14" s="184">
        <f>(J14*0.94+2000000)/2</f>
        <v>1299216.8421052631</v>
      </c>
      <c r="M14" s="184">
        <v>1554790</v>
      </c>
      <c r="N14" s="77"/>
      <c r="O14" s="37">
        <v>636631.57999999996</v>
      </c>
      <c r="P14" s="47">
        <v>1299216.8400000001</v>
      </c>
    </row>
    <row r="15" spans="1:19" ht="63" x14ac:dyDescent="0.25">
      <c r="A15" s="274"/>
      <c r="B15" s="275"/>
      <c r="C15" s="276"/>
      <c r="D15" s="182">
        <v>2751610</v>
      </c>
      <c r="E15" s="193" t="s">
        <v>102</v>
      </c>
      <c r="F15" s="178">
        <v>13574.3</v>
      </c>
      <c r="G15" s="263">
        <f>13.6*1000</f>
        <v>13600</v>
      </c>
      <c r="H15" s="229">
        <f>G15*1.88</f>
        <v>25568</v>
      </c>
      <c r="I15" s="185">
        <f t="shared" si="0"/>
        <v>489.2</v>
      </c>
      <c r="J15" s="184">
        <f>31*1000/2.85</f>
        <v>10877.192982456139</v>
      </c>
      <c r="K15" s="184">
        <f t="shared" si="1"/>
        <v>5656.1403508771928</v>
      </c>
      <c r="L15" s="184">
        <f>J15*0.94</f>
        <v>10224.561403508771</v>
      </c>
      <c r="M15" s="184">
        <f t="shared" si="3"/>
        <v>4524.9122807017548</v>
      </c>
      <c r="N15" s="77"/>
      <c r="O15" s="37">
        <v>10877.19</v>
      </c>
      <c r="P15" s="47">
        <v>10224.56</v>
      </c>
    </row>
    <row r="16" spans="1:19" ht="20.25" customHeight="1" x14ac:dyDescent="0.25">
      <c r="A16" s="194" t="s">
        <v>28</v>
      </c>
      <c r="B16" s="245" t="s">
        <v>9</v>
      </c>
      <c r="C16" s="246">
        <v>450000</v>
      </c>
      <c r="D16" s="182">
        <v>3111600</v>
      </c>
      <c r="E16" s="186" t="s">
        <v>29</v>
      </c>
      <c r="F16" s="178">
        <v>1823084.5</v>
      </c>
      <c r="G16" s="263">
        <v>1017400</v>
      </c>
      <c r="H16" s="229">
        <f>G16*1.88-1000000</f>
        <v>912712</v>
      </c>
      <c r="I16" s="185">
        <f t="shared" si="0"/>
        <v>36597.1</v>
      </c>
      <c r="J16" s="184"/>
      <c r="K16" s="184"/>
      <c r="L16" s="184"/>
      <c r="M16" s="184"/>
      <c r="N16" s="78">
        <f>G16+G17+G24+G41</f>
        <v>3717400</v>
      </c>
      <c r="O16" s="37">
        <v>0</v>
      </c>
      <c r="P16" s="47">
        <v>0</v>
      </c>
    </row>
    <row r="17" spans="1:19" s="80" customFormat="1" ht="36.950000000000003" customHeight="1" x14ac:dyDescent="0.25">
      <c r="A17" s="195" t="s">
        <v>87</v>
      </c>
      <c r="B17" s="196" t="s">
        <v>9</v>
      </c>
      <c r="C17" s="197">
        <v>560000</v>
      </c>
      <c r="D17" s="182">
        <v>3111600</v>
      </c>
      <c r="E17" s="198" t="s">
        <v>29</v>
      </c>
      <c r="F17" s="199">
        <v>223493.4</v>
      </c>
      <c r="G17" s="263">
        <f>500*1000</f>
        <v>500000</v>
      </c>
      <c r="H17" s="229">
        <f>G17*1.88+1000000</f>
        <v>1940000</v>
      </c>
      <c r="I17" s="185">
        <f t="shared" si="0"/>
        <v>17985.599999999999</v>
      </c>
      <c r="J17" s="184">
        <v>1768421.1</v>
      </c>
      <c r="K17" s="184">
        <f t="shared" si="1"/>
        <v>919578.97200000007</v>
      </c>
      <c r="L17" s="184">
        <v>1663315.8</v>
      </c>
      <c r="M17" s="184">
        <f t="shared" si="3"/>
        <v>735663.17760000005</v>
      </c>
      <c r="N17" s="77"/>
      <c r="O17" s="37">
        <v>1768421.1</v>
      </c>
      <c r="P17" s="47">
        <v>1663315.8</v>
      </c>
    </row>
    <row r="18" spans="1:19" s="150" customFormat="1" ht="22.5" customHeight="1" x14ac:dyDescent="0.25">
      <c r="A18" s="289" t="s">
        <v>31</v>
      </c>
      <c r="B18" s="290"/>
      <c r="C18" s="290"/>
      <c r="D18" s="290"/>
      <c r="E18" s="290"/>
      <c r="F18" s="200" t="e">
        <f>F19+#REF!+F21+F22+F23+F24+F25+F27</f>
        <v>#REF!</v>
      </c>
      <c r="G18" s="264"/>
      <c r="H18" s="256" t="e">
        <f>H19+#REF!+H21+H22+H23+H24+H25+H27</f>
        <v>#REF!</v>
      </c>
      <c r="I18" s="201">
        <f>SUM(I20:I34)</f>
        <v>372180.50000000006</v>
      </c>
      <c r="J18" s="200" t="e">
        <f>J19+#REF!+J21+J22+J23+J24+J25+J27</f>
        <v>#REF!</v>
      </c>
      <c r="K18" s="200" t="e">
        <f>K19+#REF!+K21+K22+K23+K24+K25+K27</f>
        <v>#REF!</v>
      </c>
      <c r="L18" s="200" t="e">
        <f>L19+#REF!+L21+L22+L23+L24+L25+L27</f>
        <v>#REF!</v>
      </c>
      <c r="M18" s="200" t="e">
        <f>M19+#REF!+M21+M22+M23+M24+M25+M27</f>
        <v>#REF!</v>
      </c>
      <c r="N18" s="168"/>
      <c r="O18" s="169"/>
      <c r="P18" s="170"/>
    </row>
    <row r="19" spans="1:19" ht="21.95" customHeight="1" x14ac:dyDescent="0.25">
      <c r="A19" s="195" t="s">
        <v>32</v>
      </c>
      <c r="B19" s="196" t="s">
        <v>33</v>
      </c>
      <c r="C19" s="197">
        <v>200000</v>
      </c>
      <c r="D19" s="182">
        <v>1101600</v>
      </c>
      <c r="E19" s="202" t="s">
        <v>13</v>
      </c>
      <c r="F19" s="178">
        <v>500000</v>
      </c>
      <c r="G19" s="263">
        <v>155000</v>
      </c>
      <c r="H19" s="229">
        <f>G19*2</f>
        <v>310000</v>
      </c>
      <c r="I19" s="185">
        <f>ROUND(G19/(27.8*1.2),1)</f>
        <v>4646.3</v>
      </c>
      <c r="J19" s="184">
        <f>943300/2.85</f>
        <v>330982.45614035084</v>
      </c>
      <c r="K19" s="184">
        <f>J19/2</f>
        <v>165491.22807017542</v>
      </c>
      <c r="L19" s="184">
        <f>J19*94/100</f>
        <v>311123.50877192977</v>
      </c>
      <c r="M19" s="184">
        <v>403080</v>
      </c>
      <c r="N19" s="77"/>
      <c r="O19" s="37">
        <v>330982.44</v>
      </c>
      <c r="P19" s="47">
        <v>311123.51</v>
      </c>
    </row>
    <row r="20" spans="1:19" ht="21.95" hidden="1" customHeight="1" x14ac:dyDescent="0.25">
      <c r="A20" s="203"/>
      <c r="B20" s="196"/>
      <c r="C20" s="197"/>
      <c r="D20" s="182">
        <v>1101610</v>
      </c>
      <c r="E20" s="183" t="s">
        <v>15</v>
      </c>
      <c r="F20" s="178"/>
      <c r="G20" s="265">
        <v>0</v>
      </c>
      <c r="H20" s="229"/>
      <c r="I20" s="185"/>
      <c r="J20" s="184"/>
      <c r="K20" s="184"/>
      <c r="L20" s="184"/>
      <c r="M20" s="184"/>
      <c r="N20" s="77"/>
      <c r="O20" s="37">
        <v>140350.88</v>
      </c>
      <c r="P20" s="47">
        <v>1200000</v>
      </c>
    </row>
    <row r="21" spans="1:19" ht="47.25" customHeight="1" x14ac:dyDescent="0.25">
      <c r="A21" s="204" t="s">
        <v>34</v>
      </c>
      <c r="B21" s="196" t="s">
        <v>33</v>
      </c>
      <c r="C21" s="197">
        <v>150000</v>
      </c>
      <c r="D21" s="182">
        <v>1101620</v>
      </c>
      <c r="E21" s="188" t="s">
        <v>35</v>
      </c>
      <c r="F21" s="178">
        <v>300000</v>
      </c>
      <c r="G21" s="266">
        <v>320730.5</v>
      </c>
      <c r="H21" s="229">
        <f t="shared" ref="H21:H26" si="4">G21*2</f>
        <v>641461</v>
      </c>
      <c r="I21" s="185">
        <f t="shared" ref="I21:I56" si="5">ROUND(G21/(27.8*1.2),1)</f>
        <v>9614.2000000000007</v>
      </c>
      <c r="J21" s="184">
        <f>599700/2.85</f>
        <v>210421.05263157893</v>
      </c>
      <c r="K21" s="184">
        <f t="shared" ref="K21:K58" si="6">J21/2</f>
        <v>105210.52631578947</v>
      </c>
      <c r="L21" s="184">
        <f>960000</f>
        <v>960000</v>
      </c>
      <c r="M21" s="184">
        <v>436360</v>
      </c>
      <c r="N21" s="78">
        <f>G21+G31</f>
        <v>600000</v>
      </c>
      <c r="O21" s="37">
        <v>210421.53</v>
      </c>
      <c r="P21" s="47">
        <v>960000</v>
      </c>
      <c r="S21" s="177"/>
    </row>
    <row r="22" spans="1:19" ht="31.5" x14ac:dyDescent="0.25">
      <c r="A22" s="195" t="s">
        <v>88</v>
      </c>
      <c r="B22" s="196" t="s">
        <v>33</v>
      </c>
      <c r="C22" s="197">
        <v>150000</v>
      </c>
      <c r="D22" s="182">
        <v>1101650</v>
      </c>
      <c r="E22" s="193" t="s">
        <v>37</v>
      </c>
      <c r="F22" s="178">
        <v>650000</v>
      </c>
      <c r="G22" s="263">
        <v>118000</v>
      </c>
      <c r="H22" s="229">
        <f t="shared" si="4"/>
        <v>236000</v>
      </c>
      <c r="I22" s="185">
        <f t="shared" si="5"/>
        <v>3537.2</v>
      </c>
      <c r="J22" s="184">
        <f>600000/2.85</f>
        <v>210526.31578947368</v>
      </c>
      <c r="K22" s="184">
        <f t="shared" si="6"/>
        <v>105263.15789473684</v>
      </c>
      <c r="L22" s="184">
        <v>0</v>
      </c>
      <c r="M22" s="184">
        <v>0</v>
      </c>
      <c r="N22" s="78">
        <f>G22+G32</f>
        <v>1064900</v>
      </c>
      <c r="O22" s="37">
        <v>210526.3</v>
      </c>
      <c r="P22" s="47">
        <v>0</v>
      </c>
    </row>
    <row r="23" spans="1:19" ht="30.95" customHeight="1" x14ac:dyDescent="0.25">
      <c r="A23" s="205" t="s">
        <v>38</v>
      </c>
      <c r="B23" s="196" t="s">
        <v>33</v>
      </c>
      <c r="C23" s="197">
        <v>175000</v>
      </c>
      <c r="D23" s="182">
        <v>1101670</v>
      </c>
      <c r="E23" s="186" t="s">
        <v>39</v>
      </c>
      <c r="F23" s="178">
        <v>1100950</v>
      </c>
      <c r="G23" s="263">
        <f>372000-150000</f>
        <v>222000</v>
      </c>
      <c r="H23" s="229">
        <f t="shared" si="4"/>
        <v>444000</v>
      </c>
      <c r="I23" s="185">
        <f t="shared" si="5"/>
        <v>6654.7</v>
      </c>
      <c r="J23" s="184">
        <f>499600/2.85</f>
        <v>175298.24561403508</v>
      </c>
      <c r="K23" s="184">
        <f t="shared" si="6"/>
        <v>87649.122807017542</v>
      </c>
      <c r="L23" s="184">
        <v>0</v>
      </c>
      <c r="M23" s="184">
        <f t="shared" ref="M23:M33" si="7">L23/2.2</f>
        <v>0</v>
      </c>
      <c r="N23" s="154">
        <f>G23+G33</f>
        <v>1580000</v>
      </c>
      <c r="O23" s="37">
        <v>175298.28</v>
      </c>
      <c r="P23" s="47">
        <v>0</v>
      </c>
    </row>
    <row r="24" spans="1:19" ht="31.5" x14ac:dyDescent="0.25">
      <c r="A24" s="205" t="s">
        <v>89</v>
      </c>
      <c r="B24" s="196" t="s">
        <v>33</v>
      </c>
      <c r="C24" s="197">
        <v>450000</v>
      </c>
      <c r="D24" s="182">
        <v>3111600</v>
      </c>
      <c r="E24" s="198" t="s">
        <v>29</v>
      </c>
      <c r="F24" s="178">
        <v>1193048.3</v>
      </c>
      <c r="G24" s="263">
        <v>1100000</v>
      </c>
      <c r="H24" s="229">
        <f t="shared" si="4"/>
        <v>2200000</v>
      </c>
      <c r="I24" s="185">
        <f t="shared" si="5"/>
        <v>32973.599999999999</v>
      </c>
      <c r="J24" s="184">
        <v>882350.9</v>
      </c>
      <c r="K24" s="184">
        <f t="shared" si="6"/>
        <v>441175.45</v>
      </c>
      <c r="L24" s="184">
        <v>829409.8</v>
      </c>
      <c r="M24" s="184">
        <v>210670</v>
      </c>
      <c r="N24" s="77"/>
      <c r="O24" s="37">
        <v>882350.9</v>
      </c>
      <c r="P24" s="47">
        <v>829409.8</v>
      </c>
    </row>
    <row r="25" spans="1:19" ht="31.5" hidden="1" x14ac:dyDescent="0.25">
      <c r="A25" s="205" t="s">
        <v>41</v>
      </c>
      <c r="B25" s="196" t="s">
        <v>33</v>
      </c>
      <c r="C25" s="197">
        <v>400000</v>
      </c>
      <c r="D25" s="182">
        <v>3111600</v>
      </c>
      <c r="E25" s="198" t="s">
        <v>29</v>
      </c>
      <c r="F25" s="178">
        <v>200000</v>
      </c>
      <c r="G25" s="265">
        <v>0</v>
      </c>
      <c r="H25" s="229">
        <f t="shared" si="4"/>
        <v>0</v>
      </c>
      <c r="I25" s="185">
        <f t="shared" si="5"/>
        <v>0</v>
      </c>
      <c r="J25" s="184">
        <v>0</v>
      </c>
      <c r="K25" s="184">
        <f t="shared" si="6"/>
        <v>0</v>
      </c>
      <c r="L25" s="184">
        <v>0</v>
      </c>
      <c r="M25" s="184">
        <v>863775</v>
      </c>
      <c r="N25" s="77"/>
      <c r="O25" s="37"/>
      <c r="P25" s="47"/>
    </row>
    <row r="26" spans="1:19" ht="30" hidden="1" customHeight="1" x14ac:dyDescent="0.25">
      <c r="A26" s="205" t="s">
        <v>41</v>
      </c>
      <c r="B26" s="196" t="s">
        <v>33</v>
      </c>
      <c r="C26" s="197">
        <v>400000</v>
      </c>
      <c r="D26" s="182">
        <v>3111600</v>
      </c>
      <c r="E26" s="198" t="s">
        <v>29</v>
      </c>
      <c r="F26" s="178"/>
      <c r="G26" s="265">
        <v>0</v>
      </c>
      <c r="H26" s="229">
        <f t="shared" si="4"/>
        <v>0</v>
      </c>
      <c r="I26" s="185">
        <f t="shared" si="5"/>
        <v>0</v>
      </c>
      <c r="J26" s="184"/>
      <c r="K26" s="184"/>
      <c r="L26" s="184"/>
      <c r="M26" s="184"/>
      <c r="N26" s="77"/>
      <c r="O26" s="37">
        <v>0</v>
      </c>
      <c r="P26" s="47">
        <v>300404.2</v>
      </c>
    </row>
    <row r="27" spans="1:19" ht="31.5" x14ac:dyDescent="0.25">
      <c r="A27" s="195" t="s">
        <v>42</v>
      </c>
      <c r="B27" s="196" t="s">
        <v>33</v>
      </c>
      <c r="C27" s="197">
        <v>152000</v>
      </c>
      <c r="D27" s="182">
        <v>3511670</v>
      </c>
      <c r="E27" s="186" t="s">
        <v>43</v>
      </c>
      <c r="F27" s="178">
        <v>400000</v>
      </c>
      <c r="G27" s="263">
        <v>140440</v>
      </c>
      <c r="H27" s="229">
        <v>100000</v>
      </c>
      <c r="I27" s="185">
        <f t="shared" si="5"/>
        <v>4209.8</v>
      </c>
      <c r="J27" s="184">
        <f>2171600/2.85</f>
        <v>761964.91228070168</v>
      </c>
      <c r="K27" s="184">
        <f t="shared" si="6"/>
        <v>380982.45614035084</v>
      </c>
      <c r="L27" s="184">
        <f>J27*94/100</f>
        <v>716247.01754385966</v>
      </c>
      <c r="M27" s="184">
        <v>927860</v>
      </c>
      <c r="N27" s="78">
        <f>G27+G45</f>
        <v>540440</v>
      </c>
      <c r="O27" s="37">
        <v>761964.91</v>
      </c>
      <c r="P27" s="47">
        <v>716247.02</v>
      </c>
    </row>
    <row r="28" spans="1:19" s="150" customFormat="1" ht="24.75" customHeight="1" x14ac:dyDescent="0.25">
      <c r="A28" s="284" t="s">
        <v>44</v>
      </c>
      <c r="B28" s="285"/>
      <c r="C28" s="285"/>
      <c r="D28" s="285"/>
      <c r="E28" s="285"/>
      <c r="F28" s="200" t="e">
        <f>F29+F30+F31+F32+F33+F34+F35+F36+F37+F38+F39+F40+F41+#REF!+F43+F45+F44</f>
        <v>#REF!</v>
      </c>
      <c r="G28" s="264"/>
      <c r="H28" s="256" t="e">
        <f>H29+H30+H31+H32+H33+H34+H35+H36+H37+H38+H39+H40+H41+#REF!+H43+H45+H44</f>
        <v>#REF!</v>
      </c>
      <c r="I28" s="201">
        <f>SUM(I30:I45)</f>
        <v>203461.80000000002</v>
      </c>
      <c r="J28" s="200" t="e">
        <f>J29+J30+J31+J32+J33+J34+J35+J36+J37+J38+J39+J40+J41+#REF!+J43+J45+J44</f>
        <v>#REF!</v>
      </c>
      <c r="K28" s="200" t="e">
        <f>K29+K30+K31+K32+K33+K34+K35+K36+K37+K38+K39+K40+K41+#REF!+K43+K45+K44</f>
        <v>#REF!</v>
      </c>
      <c r="L28" s="200" t="e">
        <f>L29+L30+L31+L32+L33+L34+L35+L36+L37+L38+L39+L40+L41+#REF!+L43+L44+L45</f>
        <v>#REF!</v>
      </c>
      <c r="M28" s="200" t="e">
        <f>M29+M30+M31+M32+M33+M34+M35+M36+M37+M38+M39+M40+M41+#REF!+M43+M45+M44</f>
        <v>#REF!</v>
      </c>
      <c r="N28" s="168"/>
      <c r="O28" s="169"/>
      <c r="P28" s="170"/>
    </row>
    <row r="29" spans="1:19" ht="18" customHeight="1" x14ac:dyDescent="0.25">
      <c r="A29" s="195" t="s">
        <v>45</v>
      </c>
      <c r="B29" s="196" t="s">
        <v>33</v>
      </c>
      <c r="C29" s="197">
        <v>200000</v>
      </c>
      <c r="D29" s="182">
        <v>1101600</v>
      </c>
      <c r="E29" s="206" t="s">
        <v>13</v>
      </c>
      <c r="F29" s="178">
        <v>300000</v>
      </c>
      <c r="G29" s="263">
        <v>745000</v>
      </c>
      <c r="H29" s="229">
        <f>G29*2</f>
        <v>1490000</v>
      </c>
      <c r="I29" s="185">
        <f t="shared" si="5"/>
        <v>22332.1</v>
      </c>
      <c r="J29" s="184">
        <f>943300/2.85</f>
        <v>330982.45614035084</v>
      </c>
      <c r="K29" s="184">
        <f t="shared" si="6"/>
        <v>165491.22807017542</v>
      </c>
      <c r="L29" s="184">
        <f>J29*94/100</f>
        <v>311123.50877192977</v>
      </c>
      <c r="M29" s="184">
        <v>403040</v>
      </c>
      <c r="N29" s="77"/>
      <c r="O29" s="79">
        <v>330982.46000000002</v>
      </c>
      <c r="P29" s="129">
        <v>311123.51</v>
      </c>
    </row>
    <row r="30" spans="1:19" ht="19.5" customHeight="1" x14ac:dyDescent="0.25">
      <c r="A30" s="203" t="s">
        <v>14</v>
      </c>
      <c r="B30" s="196" t="s">
        <v>33</v>
      </c>
      <c r="C30" s="197">
        <v>400000</v>
      </c>
      <c r="D30" s="182">
        <v>1101610</v>
      </c>
      <c r="E30" s="183" t="s">
        <v>15</v>
      </c>
      <c r="F30" s="178"/>
      <c r="G30" s="263">
        <v>318118.09999999998</v>
      </c>
      <c r="H30" s="229">
        <v>142916</v>
      </c>
      <c r="I30" s="185">
        <f t="shared" si="5"/>
        <v>9535.9</v>
      </c>
      <c r="J30" s="184">
        <f>800000/2.85</f>
        <v>280701.75438596489</v>
      </c>
      <c r="K30" s="184">
        <f t="shared" si="6"/>
        <v>140350.87719298244</v>
      </c>
      <c r="L30" s="184">
        <f>J30*94/100</f>
        <v>263859.64912280702</v>
      </c>
      <c r="M30" s="184">
        <v>341820</v>
      </c>
      <c r="N30" s="77"/>
      <c r="O30" s="79">
        <v>280701.75</v>
      </c>
      <c r="P30" s="129">
        <v>263859.65000000002</v>
      </c>
      <c r="S30" s="145"/>
    </row>
    <row r="31" spans="1:19" ht="47.25" x14ac:dyDescent="0.25">
      <c r="A31" s="207" t="s">
        <v>46</v>
      </c>
      <c r="B31" s="196" t="s">
        <v>33</v>
      </c>
      <c r="C31" s="197">
        <v>150000</v>
      </c>
      <c r="D31" s="182">
        <v>1101620</v>
      </c>
      <c r="E31" s="208" t="s">
        <v>35</v>
      </c>
      <c r="F31" s="178">
        <v>300000</v>
      </c>
      <c r="G31" s="263">
        <v>279269.5</v>
      </c>
      <c r="H31" s="229">
        <f t="shared" ref="H31:H39" si="8">G31*2</f>
        <v>558539</v>
      </c>
      <c r="I31" s="185">
        <f t="shared" si="5"/>
        <v>8371.4</v>
      </c>
      <c r="J31" s="184">
        <f>1488000/2.85</f>
        <v>522105.26315789472</v>
      </c>
      <c r="K31" s="184">
        <f t="shared" si="6"/>
        <v>261052.63157894736</v>
      </c>
      <c r="L31" s="184">
        <f>J31*94/100</f>
        <v>490778.94736842101</v>
      </c>
      <c r="M31" s="184">
        <v>635800</v>
      </c>
      <c r="N31" s="77"/>
      <c r="O31" s="79">
        <v>522105.26</v>
      </c>
      <c r="P31" s="129">
        <v>490779</v>
      </c>
    </row>
    <row r="32" spans="1:19" ht="31.5" x14ac:dyDescent="0.25">
      <c r="A32" s="195" t="s">
        <v>36</v>
      </c>
      <c r="B32" s="196" t="s">
        <v>33</v>
      </c>
      <c r="C32" s="197">
        <v>150000</v>
      </c>
      <c r="D32" s="182">
        <v>1101650</v>
      </c>
      <c r="E32" s="209" t="s">
        <v>37</v>
      </c>
      <c r="F32" s="178">
        <v>650000</v>
      </c>
      <c r="G32" s="265">
        <v>946900</v>
      </c>
      <c r="H32" s="229">
        <f t="shared" si="8"/>
        <v>1893800</v>
      </c>
      <c r="I32" s="185">
        <f t="shared" si="5"/>
        <v>28384.3</v>
      </c>
      <c r="J32" s="184">
        <f>500000/2.85</f>
        <v>175438.59649122806</v>
      </c>
      <c r="K32" s="184">
        <f t="shared" si="6"/>
        <v>87719.298245614031</v>
      </c>
      <c r="L32" s="184">
        <v>0</v>
      </c>
      <c r="M32" s="184">
        <f t="shared" si="7"/>
        <v>0</v>
      </c>
      <c r="N32" s="77"/>
      <c r="O32" s="79">
        <v>175438.6</v>
      </c>
      <c r="P32" s="129">
        <v>0</v>
      </c>
    </row>
    <row r="33" spans="1:16" ht="31.5" x14ac:dyDescent="0.25">
      <c r="A33" s="205" t="s">
        <v>38</v>
      </c>
      <c r="B33" s="196" t="s">
        <v>33</v>
      </c>
      <c r="C33" s="197">
        <v>175000</v>
      </c>
      <c r="D33" s="182">
        <v>1101670</v>
      </c>
      <c r="E33" s="198" t="s">
        <v>39</v>
      </c>
      <c r="F33" s="178">
        <v>800000</v>
      </c>
      <c r="G33" s="267">
        <f>1508000-150000</f>
        <v>1358000</v>
      </c>
      <c r="H33" s="229">
        <f t="shared" si="8"/>
        <v>2716000</v>
      </c>
      <c r="I33" s="185">
        <f t="shared" si="5"/>
        <v>40707.4</v>
      </c>
      <c r="J33" s="184">
        <f>899600/2.85</f>
        <v>315649.12280701753</v>
      </c>
      <c r="K33" s="184">
        <f t="shared" si="6"/>
        <v>157824.56140350876</v>
      </c>
      <c r="L33" s="184"/>
      <c r="M33" s="184">
        <f t="shared" si="7"/>
        <v>0</v>
      </c>
      <c r="N33" s="77"/>
      <c r="O33" s="79">
        <v>315649.12</v>
      </c>
      <c r="P33" s="129">
        <v>0</v>
      </c>
    </row>
    <row r="34" spans="1:16" s="23" customFormat="1" ht="30.75" customHeight="1" x14ac:dyDescent="0.25">
      <c r="A34" s="203" t="s">
        <v>48</v>
      </c>
      <c r="B34" s="196" t="s">
        <v>33</v>
      </c>
      <c r="C34" s="210">
        <v>108000</v>
      </c>
      <c r="D34" s="211">
        <v>2201610</v>
      </c>
      <c r="E34" s="183" t="s">
        <v>49</v>
      </c>
      <c r="F34" s="212">
        <v>20000</v>
      </c>
      <c r="G34" s="268">
        <v>80000</v>
      </c>
      <c r="H34" s="257">
        <f t="shared" si="8"/>
        <v>160000</v>
      </c>
      <c r="I34" s="185">
        <f t="shared" si="5"/>
        <v>2398.1</v>
      </c>
      <c r="J34" s="213">
        <v>80000</v>
      </c>
      <c r="K34" s="184">
        <f t="shared" si="6"/>
        <v>40000</v>
      </c>
      <c r="L34" s="184">
        <v>80000</v>
      </c>
      <c r="M34" s="184">
        <v>85460</v>
      </c>
      <c r="N34" s="153">
        <f>G34</f>
        <v>80000</v>
      </c>
      <c r="O34" s="79">
        <v>200000</v>
      </c>
      <c r="P34" s="129">
        <v>200000</v>
      </c>
    </row>
    <row r="35" spans="1:16" ht="54.75" customHeight="1" x14ac:dyDescent="0.25">
      <c r="A35" s="205" t="s">
        <v>50</v>
      </c>
      <c r="B35" s="196" t="s">
        <v>33</v>
      </c>
      <c r="C35" s="197">
        <v>15540</v>
      </c>
      <c r="D35" s="182">
        <v>2751600</v>
      </c>
      <c r="E35" s="193" t="s">
        <v>25</v>
      </c>
      <c r="F35" s="178">
        <v>130152</v>
      </c>
      <c r="G35" s="263">
        <v>130200</v>
      </c>
      <c r="H35" s="229">
        <f t="shared" si="8"/>
        <v>260400</v>
      </c>
      <c r="I35" s="185">
        <f t="shared" si="5"/>
        <v>3902.9</v>
      </c>
      <c r="J35" s="184">
        <f>230598/2.85</f>
        <v>80911.578947368413</v>
      </c>
      <c r="K35" s="184">
        <f t="shared" si="6"/>
        <v>40455.789473684206</v>
      </c>
      <c r="L35" s="184">
        <f>216762/2</f>
        <v>108381</v>
      </c>
      <c r="M35" s="184">
        <v>98500</v>
      </c>
      <c r="N35" s="77"/>
      <c r="O35" s="79">
        <v>80911.53</v>
      </c>
      <c r="P35" s="129">
        <v>108381.06</v>
      </c>
    </row>
    <row r="36" spans="1:16" ht="24" customHeight="1" x14ac:dyDescent="0.25">
      <c r="A36" s="278" t="s">
        <v>51</v>
      </c>
      <c r="B36" s="280" t="s">
        <v>33</v>
      </c>
      <c r="C36" s="282">
        <v>200000</v>
      </c>
      <c r="D36" s="182">
        <v>2751630</v>
      </c>
      <c r="E36" s="198" t="s">
        <v>52</v>
      </c>
      <c r="F36" s="178">
        <v>50000</v>
      </c>
      <c r="G36" s="263">
        <v>50000</v>
      </c>
      <c r="H36" s="229">
        <f t="shared" si="8"/>
        <v>100000</v>
      </c>
      <c r="I36" s="185">
        <f t="shared" si="5"/>
        <v>1498.8</v>
      </c>
      <c r="J36" s="184">
        <v>50000</v>
      </c>
      <c r="K36" s="184">
        <f t="shared" si="6"/>
        <v>25000</v>
      </c>
      <c r="L36" s="184">
        <v>50000</v>
      </c>
      <c r="M36" s="184">
        <v>650200</v>
      </c>
      <c r="N36" s="78">
        <f>G36</f>
        <v>50000</v>
      </c>
      <c r="O36" s="79">
        <v>50000</v>
      </c>
      <c r="P36" s="129">
        <v>50000</v>
      </c>
    </row>
    <row r="37" spans="1:16" ht="31.9" hidden="1" customHeight="1" x14ac:dyDescent="0.25">
      <c r="A37" s="288"/>
      <c r="B37" s="286"/>
      <c r="C37" s="287"/>
      <c r="D37" s="182">
        <v>2751610</v>
      </c>
      <c r="E37" s="198" t="s">
        <v>26</v>
      </c>
      <c r="F37" s="178">
        <v>5000</v>
      </c>
      <c r="G37" s="265">
        <v>0</v>
      </c>
      <c r="H37" s="229">
        <f t="shared" si="8"/>
        <v>0</v>
      </c>
      <c r="I37" s="185">
        <f t="shared" si="5"/>
        <v>0</v>
      </c>
      <c r="J37" s="184">
        <v>0</v>
      </c>
      <c r="K37" s="184">
        <f t="shared" si="6"/>
        <v>0</v>
      </c>
      <c r="L37" s="184">
        <v>0</v>
      </c>
      <c r="M37" s="184">
        <v>6400</v>
      </c>
      <c r="N37" s="77"/>
      <c r="O37" s="79"/>
      <c r="P37" s="129"/>
    </row>
    <row r="38" spans="1:16" ht="36" customHeight="1" x14ac:dyDescent="0.25">
      <c r="A38" s="279"/>
      <c r="B38" s="281"/>
      <c r="C38" s="283"/>
      <c r="D38" s="182">
        <v>2761600</v>
      </c>
      <c r="E38" s="214" t="s">
        <v>53</v>
      </c>
      <c r="F38" s="178">
        <v>350000</v>
      </c>
      <c r="G38" s="267">
        <v>1550000</v>
      </c>
      <c r="H38" s="229">
        <f t="shared" si="8"/>
        <v>3100000</v>
      </c>
      <c r="I38" s="185">
        <f t="shared" si="5"/>
        <v>46462.8</v>
      </c>
      <c r="J38" s="184">
        <v>660000</v>
      </c>
      <c r="K38" s="184">
        <f t="shared" si="6"/>
        <v>330000</v>
      </c>
      <c r="L38" s="184">
        <v>620000</v>
      </c>
      <c r="M38" s="184">
        <v>213600</v>
      </c>
      <c r="N38" s="78">
        <f>G38</f>
        <v>1550000</v>
      </c>
      <c r="O38" s="79">
        <v>660000</v>
      </c>
      <c r="P38" s="129">
        <v>620000</v>
      </c>
    </row>
    <row r="39" spans="1:16" ht="31.9" customHeight="1" x14ac:dyDescent="0.25">
      <c r="A39" s="278" t="s">
        <v>54</v>
      </c>
      <c r="B39" s="280" t="s">
        <v>33</v>
      </c>
      <c r="C39" s="282">
        <v>400000</v>
      </c>
      <c r="D39" s="182">
        <v>2751640</v>
      </c>
      <c r="E39" s="198" t="s">
        <v>55</v>
      </c>
      <c r="F39" s="178">
        <v>400000</v>
      </c>
      <c r="G39" s="263">
        <v>200000</v>
      </c>
      <c r="H39" s="229">
        <f t="shared" si="8"/>
        <v>400000</v>
      </c>
      <c r="I39" s="185">
        <f t="shared" si="5"/>
        <v>5995.2</v>
      </c>
      <c r="J39" s="184">
        <f>500000/2.85</f>
        <v>175438.59649122806</v>
      </c>
      <c r="K39" s="184">
        <f t="shared" si="6"/>
        <v>87719.298245614031</v>
      </c>
      <c r="L39" s="184">
        <f>J39*94/100</f>
        <v>164912.28070175438</v>
      </c>
      <c r="M39" s="184">
        <v>213640</v>
      </c>
      <c r="N39" s="78">
        <f>G39</f>
        <v>200000</v>
      </c>
      <c r="O39" s="79">
        <v>175438.6</v>
      </c>
      <c r="P39" s="129">
        <v>164912.29999999999</v>
      </c>
    </row>
    <row r="40" spans="1:16" ht="66.75" customHeight="1" x14ac:dyDescent="0.25">
      <c r="A40" s="279"/>
      <c r="B40" s="281"/>
      <c r="C40" s="283"/>
      <c r="D40" s="182">
        <v>2751610</v>
      </c>
      <c r="E40" s="198" t="s">
        <v>102</v>
      </c>
      <c r="F40" s="178">
        <v>10000</v>
      </c>
      <c r="G40" s="263">
        <v>15000</v>
      </c>
      <c r="H40" s="229">
        <v>11000</v>
      </c>
      <c r="I40" s="185">
        <f t="shared" si="5"/>
        <v>449.6</v>
      </c>
      <c r="J40" s="184">
        <v>9473.69</v>
      </c>
      <c r="K40" s="184">
        <v>12000</v>
      </c>
      <c r="L40" s="184">
        <v>8905.26</v>
      </c>
      <c r="M40" s="184">
        <v>5130</v>
      </c>
      <c r="N40" s="77"/>
      <c r="O40" s="79">
        <v>9473.68</v>
      </c>
      <c r="P40" s="129">
        <v>8905.27</v>
      </c>
    </row>
    <row r="41" spans="1:16" ht="54.75" customHeight="1" x14ac:dyDescent="0.25">
      <c r="A41" s="205" t="s">
        <v>56</v>
      </c>
      <c r="B41" s="196" t="s">
        <v>33</v>
      </c>
      <c r="C41" s="197">
        <v>450000</v>
      </c>
      <c r="D41" s="182">
        <v>3111600</v>
      </c>
      <c r="E41" s="198" t="s">
        <v>29</v>
      </c>
      <c r="F41" s="178">
        <v>745000</v>
      </c>
      <c r="G41" s="263">
        <v>1100000</v>
      </c>
      <c r="H41" s="229">
        <v>1389000</v>
      </c>
      <c r="I41" s="185">
        <f t="shared" si="5"/>
        <v>32973.599999999999</v>
      </c>
      <c r="J41" s="184">
        <v>987614</v>
      </c>
      <c r="K41" s="184">
        <f t="shared" si="6"/>
        <v>493807</v>
      </c>
      <c r="L41" s="184">
        <v>753968.3</v>
      </c>
      <c r="M41" s="184">
        <v>863640</v>
      </c>
      <c r="N41" s="77"/>
      <c r="O41" s="79">
        <v>987614.01</v>
      </c>
      <c r="P41" s="129">
        <v>753968.3</v>
      </c>
    </row>
    <row r="42" spans="1:16" ht="37.15" hidden="1" customHeight="1" x14ac:dyDescent="0.25">
      <c r="A42" s="205" t="s">
        <v>41</v>
      </c>
      <c r="B42" s="196" t="s">
        <v>33</v>
      </c>
      <c r="C42" s="197">
        <v>400000</v>
      </c>
      <c r="D42" s="182">
        <v>3111600</v>
      </c>
      <c r="E42" s="198" t="s">
        <v>29</v>
      </c>
      <c r="F42" s="178"/>
      <c r="G42" s="265">
        <v>0</v>
      </c>
      <c r="H42" s="229"/>
      <c r="I42" s="185">
        <f t="shared" si="5"/>
        <v>0</v>
      </c>
      <c r="J42" s="184"/>
      <c r="K42" s="184"/>
      <c r="L42" s="184"/>
      <c r="M42" s="184"/>
      <c r="N42" s="77"/>
      <c r="O42" s="79">
        <v>0</v>
      </c>
      <c r="P42" s="129">
        <v>300404.2</v>
      </c>
    </row>
    <row r="43" spans="1:16" ht="43.15" customHeight="1" x14ac:dyDescent="0.25">
      <c r="A43" s="207" t="s">
        <v>101</v>
      </c>
      <c r="B43" s="196" t="s">
        <v>33</v>
      </c>
      <c r="C43" s="197">
        <v>400000</v>
      </c>
      <c r="D43" s="182">
        <v>3511620</v>
      </c>
      <c r="E43" s="209" t="s">
        <v>58</v>
      </c>
      <c r="F43" s="178">
        <v>200000</v>
      </c>
      <c r="G43" s="263">
        <v>300000</v>
      </c>
      <c r="H43" s="229">
        <f>G43*2</f>
        <v>600000</v>
      </c>
      <c r="I43" s="185">
        <f t="shared" si="5"/>
        <v>8992.7999999999993</v>
      </c>
      <c r="J43" s="184">
        <f>3594400/2.85</f>
        <v>1261192.9824561402</v>
      </c>
      <c r="K43" s="184">
        <v>1791200</v>
      </c>
      <c r="L43" s="184">
        <f>J43*94/100/1.3+18000</f>
        <v>929939.54116059374</v>
      </c>
      <c r="M43" s="184">
        <v>1067240</v>
      </c>
      <c r="N43" s="78">
        <f>G43+G44+G52+G58</f>
        <v>485760</v>
      </c>
      <c r="O43" s="79">
        <v>1229613.98</v>
      </c>
      <c r="P43" s="129">
        <v>929939.54</v>
      </c>
    </row>
    <row r="44" spans="1:16" ht="24" customHeight="1" x14ac:dyDescent="0.25">
      <c r="A44" s="215" t="s">
        <v>81</v>
      </c>
      <c r="B44" s="196" t="s">
        <v>33</v>
      </c>
      <c r="C44" s="197">
        <v>400000</v>
      </c>
      <c r="D44" s="182">
        <v>3511620</v>
      </c>
      <c r="E44" s="209" t="s">
        <v>58</v>
      </c>
      <c r="F44" s="178"/>
      <c r="G44" s="263">
        <v>60000</v>
      </c>
      <c r="H44" s="229">
        <v>400000</v>
      </c>
      <c r="I44" s="185">
        <f t="shared" si="5"/>
        <v>1798.6</v>
      </c>
      <c r="J44" s="184">
        <f>2000000/2.85</f>
        <v>701754.38596491225</v>
      </c>
      <c r="K44" s="184">
        <f t="shared" si="6"/>
        <v>350877.19298245612</v>
      </c>
      <c r="L44" s="184">
        <f>J44*94/100</f>
        <v>659649.12280701753</v>
      </c>
      <c r="M44" s="184">
        <v>854540</v>
      </c>
      <c r="N44" s="77"/>
      <c r="O44" s="79">
        <v>565999.71</v>
      </c>
      <c r="P44" s="129">
        <v>769273.61</v>
      </c>
    </row>
    <row r="45" spans="1:16" ht="36" customHeight="1" x14ac:dyDescent="0.25">
      <c r="A45" s="195" t="s">
        <v>42</v>
      </c>
      <c r="B45" s="196" t="s">
        <v>33</v>
      </c>
      <c r="C45" s="197">
        <v>152000</v>
      </c>
      <c r="D45" s="182">
        <v>3511670</v>
      </c>
      <c r="E45" s="186" t="s">
        <v>43</v>
      </c>
      <c r="F45" s="178">
        <v>146400</v>
      </c>
      <c r="G45" s="263">
        <v>400000</v>
      </c>
      <c r="H45" s="229">
        <f>G45*2</f>
        <v>800000</v>
      </c>
      <c r="I45" s="185">
        <f t="shared" si="5"/>
        <v>11990.4</v>
      </c>
      <c r="J45" s="184">
        <f>2071602/2.85</f>
        <v>726877.89473684214</v>
      </c>
      <c r="K45" s="184">
        <f t="shared" si="6"/>
        <v>363438.94736842107</v>
      </c>
      <c r="L45" s="184">
        <f>1947305/2</f>
        <v>973652.5</v>
      </c>
      <c r="M45" s="184">
        <v>885130</v>
      </c>
      <c r="N45" s="77"/>
      <c r="O45" s="37">
        <v>726877.89</v>
      </c>
      <c r="P45" s="47">
        <v>973652.5</v>
      </c>
    </row>
    <row r="46" spans="1:16" s="150" customFormat="1" ht="21" customHeight="1" x14ac:dyDescent="0.25">
      <c r="A46" s="284" t="s">
        <v>59</v>
      </c>
      <c r="B46" s="285"/>
      <c r="C46" s="285"/>
      <c r="D46" s="285"/>
      <c r="E46" s="285"/>
      <c r="F46" s="200">
        <f>F47+F48+F49+F50+F51+F52</f>
        <v>1217600</v>
      </c>
      <c r="G46" s="264"/>
      <c r="H46" s="256">
        <f>H47+H48+H49+H50+H51+H52</f>
        <v>2240000</v>
      </c>
      <c r="I46" s="201">
        <f>SUM(I47:I52)</f>
        <v>45044.4</v>
      </c>
      <c r="J46" s="200">
        <f t="shared" ref="J46:M46" si="9">J47+J48+J49+J50+J51+J52</f>
        <v>702807.01754385966</v>
      </c>
      <c r="K46" s="200">
        <f t="shared" si="9"/>
        <v>351403.50877192983</v>
      </c>
      <c r="L46" s="200">
        <f t="shared" si="9"/>
        <v>330319.29824561399</v>
      </c>
      <c r="M46" s="200">
        <f t="shared" si="9"/>
        <v>886044</v>
      </c>
      <c r="N46" s="168"/>
      <c r="O46" s="169"/>
      <c r="P46" s="170"/>
    </row>
    <row r="47" spans="1:16" ht="35.450000000000003" customHeight="1" x14ac:dyDescent="0.25">
      <c r="A47" s="205" t="s">
        <v>60</v>
      </c>
      <c r="B47" s="196" t="s">
        <v>33</v>
      </c>
      <c r="C47" s="197">
        <v>65500</v>
      </c>
      <c r="D47" s="216">
        <v>1101680</v>
      </c>
      <c r="E47" s="217" t="s">
        <v>61</v>
      </c>
      <c r="F47" s="178">
        <v>208000</v>
      </c>
      <c r="G47" s="263">
        <v>250000</v>
      </c>
      <c r="H47" s="229">
        <f>G47*2</f>
        <v>500000</v>
      </c>
      <c r="I47" s="185">
        <f t="shared" si="5"/>
        <v>7494</v>
      </c>
      <c r="J47" s="184">
        <f>474800/2.85</f>
        <v>166596.49122807017</v>
      </c>
      <c r="K47" s="184">
        <f t="shared" si="6"/>
        <v>83298.245614035084</v>
      </c>
      <c r="L47" s="184">
        <f t="shared" ref="L47:L52" si="10">J47*94/100/2</f>
        <v>78300.350877192977</v>
      </c>
      <c r="M47" s="184">
        <v>202869</v>
      </c>
      <c r="N47" s="78">
        <f>G47</f>
        <v>250000</v>
      </c>
      <c r="O47" s="37">
        <v>166596.29999999999</v>
      </c>
      <c r="P47" s="47">
        <v>78300.399999999994</v>
      </c>
    </row>
    <row r="48" spans="1:16" ht="34.15" customHeight="1" x14ac:dyDescent="0.25">
      <c r="A48" s="205" t="s">
        <v>62</v>
      </c>
      <c r="B48" s="196" t="s">
        <v>33</v>
      </c>
      <c r="C48" s="197">
        <v>150000</v>
      </c>
      <c r="D48" s="216">
        <v>1101690</v>
      </c>
      <c r="E48" s="217" t="s">
        <v>63</v>
      </c>
      <c r="F48" s="178">
        <v>50000</v>
      </c>
      <c r="G48" s="265">
        <v>200000</v>
      </c>
      <c r="H48" s="229">
        <v>200000</v>
      </c>
      <c r="I48" s="185">
        <f t="shared" si="5"/>
        <v>5995.2</v>
      </c>
      <c r="J48" s="184">
        <f>500000/2.85</f>
        <v>175438.59649122806</v>
      </c>
      <c r="K48" s="184">
        <f t="shared" si="6"/>
        <v>87719.298245614031</v>
      </c>
      <c r="L48" s="184">
        <f t="shared" si="10"/>
        <v>82456.140350877191</v>
      </c>
      <c r="M48" s="184">
        <v>213636</v>
      </c>
      <c r="N48" s="78">
        <f>G48</f>
        <v>200000</v>
      </c>
      <c r="O48" s="37">
        <v>175438.6</v>
      </c>
      <c r="P48" s="47">
        <v>82456.100000000006</v>
      </c>
    </row>
    <row r="49" spans="1:16" ht="50.45" customHeight="1" x14ac:dyDescent="0.25">
      <c r="A49" s="207" t="s">
        <v>86</v>
      </c>
      <c r="B49" s="196" t="s">
        <v>33</v>
      </c>
      <c r="C49" s="197">
        <v>17000</v>
      </c>
      <c r="D49" s="182">
        <v>2751600</v>
      </c>
      <c r="E49" s="193" t="s">
        <v>25</v>
      </c>
      <c r="F49" s="178">
        <v>139000</v>
      </c>
      <c r="G49" s="263">
        <v>170000</v>
      </c>
      <c r="H49" s="229">
        <f>G49*2</f>
        <v>340000</v>
      </c>
      <c r="I49" s="185">
        <f t="shared" si="5"/>
        <v>5095.8999999999996</v>
      </c>
      <c r="J49" s="184">
        <f>128200/2.85</f>
        <v>44982.456140350878</v>
      </c>
      <c r="K49" s="184">
        <f t="shared" si="6"/>
        <v>22491.228070175439</v>
      </c>
      <c r="L49" s="184">
        <f t="shared" si="10"/>
        <v>21141.754385964912</v>
      </c>
      <c r="M49" s="184">
        <v>87722</v>
      </c>
      <c r="N49" s="77"/>
      <c r="O49" s="37">
        <v>44982.46</v>
      </c>
      <c r="P49" s="47">
        <v>21141.75</v>
      </c>
    </row>
    <row r="50" spans="1:16" ht="26.45" customHeight="1" x14ac:dyDescent="0.25">
      <c r="A50" s="247" t="s">
        <v>65</v>
      </c>
      <c r="B50" s="248" t="s">
        <v>33</v>
      </c>
      <c r="C50" s="249">
        <v>90000</v>
      </c>
      <c r="D50" s="182">
        <v>2751650</v>
      </c>
      <c r="E50" s="193" t="s">
        <v>66</v>
      </c>
      <c r="F50" s="178">
        <v>560000</v>
      </c>
      <c r="G50" s="263">
        <v>562684</v>
      </c>
      <c r="H50" s="229">
        <v>600000</v>
      </c>
      <c r="I50" s="185">
        <f t="shared" si="5"/>
        <v>16867</v>
      </c>
      <c r="J50" s="184">
        <f>500000/2.85</f>
        <v>175438.59649122806</v>
      </c>
      <c r="K50" s="184">
        <f t="shared" si="6"/>
        <v>87719.298245614031</v>
      </c>
      <c r="L50" s="184">
        <f t="shared" si="10"/>
        <v>82456.140350877191</v>
      </c>
      <c r="M50" s="184">
        <v>213636</v>
      </c>
      <c r="N50" s="78">
        <f>G50</f>
        <v>562684</v>
      </c>
      <c r="O50" s="37">
        <v>175438.6</v>
      </c>
      <c r="P50" s="47">
        <v>82456.100000000006</v>
      </c>
    </row>
    <row r="51" spans="1:16" ht="43.35" customHeight="1" x14ac:dyDescent="0.25">
      <c r="A51" s="205" t="s">
        <v>67</v>
      </c>
      <c r="B51" s="196" t="s">
        <v>33</v>
      </c>
      <c r="C51" s="197">
        <v>60000</v>
      </c>
      <c r="D51" s="216">
        <v>3101600</v>
      </c>
      <c r="E51" s="217" t="s">
        <v>68</v>
      </c>
      <c r="F51" s="178">
        <v>179000</v>
      </c>
      <c r="G51" s="263">
        <v>250000</v>
      </c>
      <c r="H51" s="229">
        <f>G51*2</f>
        <v>500000</v>
      </c>
      <c r="I51" s="185">
        <f t="shared" si="5"/>
        <v>7494</v>
      </c>
      <c r="J51" s="184">
        <f>300000/2.85</f>
        <v>105263.15789473684</v>
      </c>
      <c r="K51" s="184">
        <f t="shared" si="6"/>
        <v>52631.57894736842</v>
      </c>
      <c r="L51" s="184">
        <f t="shared" si="10"/>
        <v>49473.68421052632</v>
      </c>
      <c r="M51" s="184">
        <v>128181</v>
      </c>
      <c r="N51" s="78">
        <f>G51</f>
        <v>250000</v>
      </c>
      <c r="O51" s="37">
        <v>300000</v>
      </c>
      <c r="P51" s="47">
        <v>0</v>
      </c>
    </row>
    <row r="52" spans="1:16" ht="19.149999999999999" customHeight="1" x14ac:dyDescent="0.25">
      <c r="A52" s="218" t="s">
        <v>69</v>
      </c>
      <c r="B52" s="196" t="s">
        <v>33</v>
      </c>
      <c r="C52" s="197">
        <v>10000</v>
      </c>
      <c r="D52" s="216">
        <v>3511620</v>
      </c>
      <c r="E52" s="209" t="s">
        <v>58</v>
      </c>
      <c r="F52" s="178">
        <v>81600</v>
      </c>
      <c r="G52" s="263">
        <v>70000</v>
      </c>
      <c r="H52" s="229">
        <v>100000</v>
      </c>
      <c r="I52" s="185">
        <f t="shared" si="5"/>
        <v>2098.3000000000002</v>
      </c>
      <c r="J52" s="184">
        <f>100000/2.85</f>
        <v>35087.719298245611</v>
      </c>
      <c r="K52" s="184">
        <f t="shared" si="6"/>
        <v>17543.859649122805</v>
      </c>
      <c r="L52" s="184">
        <f t="shared" si="10"/>
        <v>16491.228070175439</v>
      </c>
      <c r="M52" s="184">
        <v>40000</v>
      </c>
      <c r="N52" s="77"/>
      <c r="O52" s="37">
        <v>35087.72</v>
      </c>
      <c r="P52" s="47">
        <v>16491.23</v>
      </c>
    </row>
    <row r="53" spans="1:16" s="80" customFormat="1" ht="26.45" customHeight="1" x14ac:dyDescent="0.25">
      <c r="A53" s="219" t="s">
        <v>70</v>
      </c>
      <c r="B53" s="220"/>
      <c r="C53" s="220"/>
      <c r="D53" s="220"/>
      <c r="E53" s="220"/>
      <c r="F53" s="221"/>
      <c r="G53" s="269"/>
      <c r="H53" s="222"/>
      <c r="I53" s="221">
        <f>SUM(I54:I56)</f>
        <v>2075.6</v>
      </c>
      <c r="J53" s="221"/>
      <c r="K53" s="221"/>
      <c r="L53" s="221"/>
      <c r="M53" s="222"/>
      <c r="N53" s="77"/>
      <c r="O53" s="171"/>
      <c r="P53" s="172"/>
    </row>
    <row r="54" spans="1:16" ht="33" customHeight="1" x14ac:dyDescent="0.25">
      <c r="A54" s="195" t="s">
        <v>82</v>
      </c>
      <c r="B54" s="280" t="s">
        <v>33</v>
      </c>
      <c r="C54" s="282">
        <v>100000</v>
      </c>
      <c r="D54" s="216">
        <v>1002600</v>
      </c>
      <c r="E54" s="209" t="s">
        <v>97</v>
      </c>
      <c r="F54" s="223"/>
      <c r="G54" s="263">
        <v>4846.8</v>
      </c>
      <c r="H54" s="229">
        <v>7000</v>
      </c>
      <c r="I54" s="185">
        <f t="shared" si="5"/>
        <v>145.30000000000001</v>
      </c>
      <c r="J54" s="184">
        <v>7000</v>
      </c>
      <c r="K54" s="184">
        <v>7000</v>
      </c>
      <c r="L54" s="184">
        <v>7000</v>
      </c>
      <c r="M54" s="224"/>
      <c r="N54" s="78">
        <f>G54</f>
        <v>4846.8</v>
      </c>
      <c r="O54" s="37"/>
      <c r="P54" s="47"/>
    </row>
    <row r="55" spans="1:16" ht="52.15" customHeight="1" x14ac:dyDescent="0.25">
      <c r="A55" s="225" t="s">
        <v>83</v>
      </c>
      <c r="B55" s="286"/>
      <c r="C55" s="287"/>
      <c r="D55" s="216">
        <v>3111610</v>
      </c>
      <c r="E55" s="209" t="s">
        <v>98</v>
      </c>
      <c r="F55" s="226">
        <v>10000</v>
      </c>
      <c r="G55" s="270">
        <v>47083.199999999997</v>
      </c>
      <c r="H55" s="258">
        <v>68000</v>
      </c>
      <c r="I55" s="185">
        <f t="shared" si="5"/>
        <v>1411.4</v>
      </c>
      <c r="J55" s="227">
        <v>68000</v>
      </c>
      <c r="K55" s="227">
        <v>68000</v>
      </c>
      <c r="L55" s="227">
        <v>68000</v>
      </c>
      <c r="M55" s="184">
        <v>213636</v>
      </c>
      <c r="N55" s="78">
        <f>G55</f>
        <v>47083.199999999997</v>
      </c>
      <c r="O55" s="37"/>
      <c r="P55" s="47"/>
    </row>
    <row r="56" spans="1:16" ht="36.75" customHeight="1" x14ac:dyDescent="0.25">
      <c r="A56" s="207" t="s">
        <v>85</v>
      </c>
      <c r="B56" s="281"/>
      <c r="C56" s="283"/>
      <c r="D56" s="216">
        <v>3507610</v>
      </c>
      <c r="E56" s="209" t="s">
        <v>99</v>
      </c>
      <c r="F56" s="228"/>
      <c r="G56" s="263">
        <v>17310</v>
      </c>
      <c r="H56" s="229">
        <v>25000</v>
      </c>
      <c r="I56" s="185">
        <f t="shared" si="5"/>
        <v>518.9</v>
      </c>
      <c r="J56" s="184">
        <v>25000</v>
      </c>
      <c r="K56" s="184">
        <v>25000</v>
      </c>
      <c r="L56" s="184">
        <v>25000</v>
      </c>
      <c r="M56" s="229"/>
      <c r="N56" s="78">
        <f>G56</f>
        <v>17310</v>
      </c>
      <c r="O56" s="37"/>
      <c r="P56" s="47"/>
    </row>
    <row r="57" spans="1:16" ht="22.9" customHeight="1" x14ac:dyDescent="0.25">
      <c r="A57" s="252" t="s">
        <v>72</v>
      </c>
      <c r="B57" s="253"/>
      <c r="C57" s="253"/>
      <c r="D57" s="253"/>
      <c r="E57" s="253"/>
      <c r="F57" s="253"/>
      <c r="G57" s="271"/>
      <c r="H57" s="253"/>
      <c r="I57" s="253"/>
      <c r="J57" s="253"/>
      <c r="K57" s="253"/>
      <c r="L57" s="253"/>
      <c r="M57" s="254"/>
      <c r="N57" s="151"/>
      <c r="O57" s="37"/>
      <c r="P57" s="47"/>
    </row>
    <row r="58" spans="1:16" ht="49.5" customHeight="1" thickBot="1" x14ac:dyDescent="0.3">
      <c r="A58" s="230" t="s">
        <v>73</v>
      </c>
      <c r="B58" s="248" t="s">
        <v>74</v>
      </c>
      <c r="C58" s="249">
        <v>108193</v>
      </c>
      <c r="D58" s="231">
        <v>3511620</v>
      </c>
      <c r="E58" s="232" t="s">
        <v>58</v>
      </c>
      <c r="F58" s="233">
        <v>21000</v>
      </c>
      <c r="G58" s="272">
        <v>55760</v>
      </c>
      <c r="H58" s="259">
        <f>G58*2</f>
        <v>111520</v>
      </c>
      <c r="I58" s="235">
        <f>ROUND(G58/(27.8*0.013),1)</f>
        <v>154288.9</v>
      </c>
      <c r="J58" s="234">
        <f>1500000/2.85</f>
        <v>526315.78947368416</v>
      </c>
      <c r="K58" s="234">
        <f t="shared" si="6"/>
        <v>263157.89473684208</v>
      </c>
      <c r="L58" s="234">
        <f>1500000/2.52-482.62</f>
        <v>594755.47523809527</v>
      </c>
      <c r="M58" s="234">
        <v>640909</v>
      </c>
      <c r="N58" s="152"/>
      <c r="O58" s="126">
        <v>526315.79</v>
      </c>
      <c r="P58" s="128">
        <f>594755.48-0.04</f>
        <v>594755.43999999994</v>
      </c>
    </row>
    <row r="59" spans="1:16" s="80" customFormat="1" ht="23.25" customHeight="1" thickBot="1" x14ac:dyDescent="0.3">
      <c r="A59" s="236"/>
      <c r="B59" s="237"/>
      <c r="C59" s="237"/>
      <c r="D59" s="238"/>
      <c r="E59" s="239" t="s">
        <v>75</v>
      </c>
      <c r="F59" s="240" t="e">
        <f>#REF!+#REF!+#REF!+#REF!+F7+F6+F9+F10+F11+F12+F13+F14+F15+F16+F17+F19+F21+F22+F23+F24+F25+F27+F29+F31+F32+F33+F35+F36+F37+F39+F40+F41+#REF!+F43+F45+F48+F47+F49+F50+F51+F52+F55+F58+F34+F38</f>
        <v>#REF!</v>
      </c>
      <c r="G59" s="273">
        <f>G58+G56+G55+G54+G52+G51+G50+G49+G48+G47+G45+G44+G43+G41+G40+G39+G38+G36+G35+G34+G33+G32+G30+G29+G27+G24+G23+G22+G21+G19+G17+G16+G15+G14+G13+G12+G11+G10+G9+G8+G7+G6+G31</f>
        <v>16000000</v>
      </c>
      <c r="H59" s="260">
        <v>30000000</v>
      </c>
      <c r="I59" s="241">
        <f>I5+I18+I28+I46+I53+I58</f>
        <v>949125.20000000007</v>
      </c>
      <c r="J59" s="242">
        <v>17000000</v>
      </c>
      <c r="K59" s="242"/>
      <c r="L59" s="242">
        <v>18000000</v>
      </c>
      <c r="M59" s="242">
        <v>20000000</v>
      </c>
      <c r="N59" s="173"/>
      <c r="O59" s="174">
        <f>O6+O7+O8+O9+O10+O11+O12+O13+O14+O15+O16+O17+O19+O20+O21+O22+O23+O24+O26+O27+O29+O30+O31+O32+O33+O34+O35+O36+O38+O39+O40+O41+O42+O43+O44+O45+O47+O48+O49+O50+O51+O52+O54+O55+O56+O58</f>
        <v>17000000</v>
      </c>
      <c r="P59" s="175">
        <f>P6+P7+P8+P9+P10+P11+P12+P13+P14+P15+P16+P17+P19+P20+P21+P22+P23+P24+P26+P27+P29+P30+P31+P32+P33+P34+P35+P36+P38+P39+P40+P41+P42+P43+P44+P45+P47+P48+P49+P50+P51+P52+P54+P55+P56+P58</f>
        <v>18000000.000000004</v>
      </c>
    </row>
    <row r="60" spans="1:16" ht="24" customHeight="1" x14ac:dyDescent="0.25">
      <c r="A60" s="277"/>
      <c r="B60" s="277"/>
      <c r="C60" s="277"/>
      <c r="D60" s="277"/>
      <c r="E60" s="277"/>
      <c r="F60" s="243"/>
      <c r="G60" s="243"/>
      <c r="H60" s="244"/>
      <c r="I60" s="244"/>
      <c r="J60" s="244"/>
      <c r="K60" s="244"/>
      <c r="L60" s="244"/>
      <c r="M60" s="244" t="e">
        <f>M59-#REF!</f>
        <v>#REF!</v>
      </c>
      <c r="O60" s="176"/>
    </row>
    <row r="61" spans="1:16" x14ac:dyDescent="0.25">
      <c r="I61" s="176"/>
      <c r="M61" s="176"/>
      <c r="N61" s="176" t="e">
        <f>N58+N56+N55+N54+N51+N50+N48+N47+N43+N39+N38+N36+N34+N27+N22+N21+N16+N13+N12+N11+N10+N9+N7+N6+#REF!+#REF!+N23</f>
        <v>#REF!</v>
      </c>
    </row>
    <row r="62" spans="1:16" x14ac:dyDescent="0.25">
      <c r="L62" s="176"/>
    </row>
    <row r="65" spans="10:15" x14ac:dyDescent="0.25">
      <c r="J65" s="176"/>
    </row>
    <row r="67" spans="10:15" x14ac:dyDescent="0.25">
      <c r="O67" s="176"/>
    </row>
  </sheetData>
  <mergeCells count="30">
    <mergeCell ref="E1:F1"/>
    <mergeCell ref="E2:G2"/>
    <mergeCell ref="C9:C10"/>
    <mergeCell ref="A12:A13"/>
    <mergeCell ref="B12:B13"/>
    <mergeCell ref="C12:C13"/>
    <mergeCell ref="A3:P3"/>
    <mergeCell ref="A7:A8"/>
    <mergeCell ref="B7:B8"/>
    <mergeCell ref="C7:C8"/>
    <mergeCell ref="A9:A10"/>
    <mergeCell ref="B9:B10"/>
    <mergeCell ref="L4:M4"/>
    <mergeCell ref="A5:E5"/>
    <mergeCell ref="J4:K4"/>
    <mergeCell ref="A14:A15"/>
    <mergeCell ref="B14:B15"/>
    <mergeCell ref="C14:C15"/>
    <mergeCell ref="A60:E60"/>
    <mergeCell ref="A39:A40"/>
    <mergeCell ref="B39:B40"/>
    <mergeCell ref="C39:C40"/>
    <mergeCell ref="A46:E46"/>
    <mergeCell ref="B54:B56"/>
    <mergeCell ref="C54:C56"/>
    <mergeCell ref="A36:A38"/>
    <mergeCell ref="B36:B38"/>
    <mergeCell ref="C36:C38"/>
    <mergeCell ref="A18:E18"/>
    <mergeCell ref="A28:E2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7" fitToHeight="2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D1" zoomScaleNormal="100" zoomScaleSheetLayoutView="80" zoomScalePageLayoutView="44" workbookViewId="0">
      <selection activeCell="E21" sqref="E21"/>
    </sheetView>
  </sheetViews>
  <sheetFormatPr defaultColWidth="8.7109375" defaultRowHeight="15.75" x14ac:dyDescent="0.25"/>
  <cols>
    <col min="1" max="1" width="70.42578125" style="24" hidden="1" customWidth="1"/>
    <col min="2" max="3" width="16.7109375" style="24" hidden="1" customWidth="1"/>
    <col min="4" max="4" width="16.42578125" style="24" customWidth="1"/>
    <col min="5" max="5" width="104.5703125" style="24" customWidth="1"/>
    <col min="6" max="6" width="20.7109375" style="29" hidden="1" customWidth="1"/>
    <col min="7" max="7" width="17" style="29" hidden="1" customWidth="1"/>
    <col min="8" max="8" width="17" style="24" hidden="1" customWidth="1"/>
    <col min="9" max="9" width="13.85546875" style="24" hidden="1" customWidth="1"/>
    <col min="10" max="10" width="17.7109375" style="24" hidden="1" customWidth="1"/>
    <col min="11" max="11" width="17.28515625" style="24" hidden="1" customWidth="1"/>
    <col min="12" max="12" width="18.140625" style="24" hidden="1" customWidth="1"/>
    <col min="13" max="14" width="18.5703125" style="24" hidden="1" customWidth="1"/>
    <col min="15" max="15" width="18.28515625" style="25" customWidth="1"/>
    <col min="16" max="16" width="19.85546875" style="24" customWidth="1"/>
    <col min="17" max="17" width="19.5703125" style="24" customWidth="1"/>
    <col min="18" max="18" width="20.85546875" style="24" customWidth="1"/>
    <col min="19" max="19" width="39.42578125" style="24" customWidth="1"/>
    <col min="20" max="20" width="8.7109375" style="24"/>
    <col min="21" max="21" width="13.140625" style="24" bestFit="1" customWidth="1"/>
    <col min="22" max="16384" width="8.7109375" style="24"/>
  </cols>
  <sheetData>
    <row r="1" spans="1:18" ht="16.899999999999999" customHeight="1" x14ac:dyDescent="0.25">
      <c r="A1" s="19"/>
      <c r="B1" s="20"/>
      <c r="C1" s="19"/>
      <c r="D1" s="19"/>
      <c r="E1" s="307"/>
      <c r="F1" s="307"/>
      <c r="G1" s="18"/>
    </row>
    <row r="2" spans="1:18" ht="11.45" customHeight="1" x14ac:dyDescent="0.25">
      <c r="A2" s="19"/>
      <c r="B2" s="20"/>
      <c r="C2" s="19"/>
      <c r="D2" s="19"/>
      <c r="E2" s="307" t="s">
        <v>0</v>
      </c>
      <c r="F2" s="307"/>
      <c r="G2" s="18"/>
    </row>
    <row r="3" spans="1:18" ht="66.2" customHeight="1" thickBot="1" x14ac:dyDescent="0.3">
      <c r="A3" s="343" t="s">
        <v>96</v>
      </c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</row>
    <row r="4" spans="1:18" s="34" customFormat="1" ht="96.75" customHeight="1" x14ac:dyDescent="0.25">
      <c r="A4" s="308" t="s">
        <v>1</v>
      </c>
      <c r="B4" s="10" t="s">
        <v>2</v>
      </c>
      <c r="C4" s="14" t="s">
        <v>3</v>
      </c>
      <c r="D4" s="310" t="s">
        <v>4</v>
      </c>
      <c r="E4" s="312" t="s">
        <v>5</v>
      </c>
      <c r="F4" s="314" t="s">
        <v>6</v>
      </c>
      <c r="G4" s="316" t="s">
        <v>78</v>
      </c>
      <c r="H4" s="316"/>
      <c r="I4" s="40"/>
      <c r="J4" s="316" t="s">
        <v>79</v>
      </c>
      <c r="K4" s="317"/>
      <c r="L4" s="316" t="s">
        <v>80</v>
      </c>
      <c r="M4" s="317"/>
      <c r="N4" s="41"/>
      <c r="O4" s="345" t="s">
        <v>78</v>
      </c>
      <c r="P4" s="316" t="s">
        <v>91</v>
      </c>
      <c r="Q4" s="316" t="s">
        <v>92</v>
      </c>
      <c r="R4" s="341" t="s">
        <v>93</v>
      </c>
    </row>
    <row r="5" spans="1:18" ht="24" customHeight="1" x14ac:dyDescent="0.25">
      <c r="A5" s="309"/>
      <c r="B5" s="9"/>
      <c r="C5" s="9"/>
      <c r="D5" s="311"/>
      <c r="E5" s="313"/>
      <c r="F5" s="315"/>
      <c r="G5" s="3" t="s">
        <v>76</v>
      </c>
      <c r="H5" s="3" t="s">
        <v>77</v>
      </c>
      <c r="I5" s="11"/>
      <c r="J5" s="3" t="s">
        <v>76</v>
      </c>
      <c r="K5" s="3" t="s">
        <v>77</v>
      </c>
      <c r="L5" s="3" t="s">
        <v>76</v>
      </c>
      <c r="M5" s="3" t="s">
        <v>77</v>
      </c>
      <c r="N5" s="11"/>
      <c r="O5" s="346"/>
      <c r="P5" s="340"/>
      <c r="Q5" s="340"/>
      <c r="R5" s="342"/>
    </row>
    <row r="6" spans="1:18" s="26" customFormat="1" ht="16.350000000000001" hidden="1" customHeight="1" x14ac:dyDescent="0.25">
      <c r="A6" s="318" t="s">
        <v>7</v>
      </c>
      <c r="B6" s="319"/>
      <c r="C6" s="319"/>
      <c r="D6" s="319"/>
      <c r="E6" s="319"/>
      <c r="F6" s="7">
        <f>F7+F8+F10+F11+F12+F15+F21+F22+F24+F25+F26+F27+F34+F35+F23</f>
        <v>5110849.7</v>
      </c>
      <c r="G6" s="7">
        <f>G7+G8+G10+G11+G12+G15+G21+G22+G24+G25+G26+G27+G34+G35+G23</f>
        <v>5264300</v>
      </c>
      <c r="H6" s="7">
        <f>H7+H8+H10+H11+H12+H15+H21+H22+H24+H25+H26+H27+H34+H35+H23</f>
        <v>9896884</v>
      </c>
      <c r="I6" s="42"/>
      <c r="J6" s="7">
        <f>J7+J8+J10+J11+J12+J15+J21+J22+J24+J25+J26+J27+J34+J35+J23</f>
        <v>6553438.5964912279</v>
      </c>
      <c r="K6" s="7">
        <f>K7+K8+K10+K11+K12+K15+K21+K22+K24+K25+K26+K27+K34+K35+K23</f>
        <v>3407788.0701754387</v>
      </c>
      <c r="L6" s="7">
        <f>L7+L8+L10+L11+L12+L15+L21+L22+L24+L25+L26+L27+L34+L35+L23</f>
        <v>6861015.4385964908</v>
      </c>
      <c r="M6" s="7">
        <f>M7+M8+M10+M11+M12+M15+M21+M22+M24+M25+M26+M27+M34+M35+M23</f>
        <v>5012157.6842105258</v>
      </c>
      <c r="N6" s="12">
        <f>G11+G15+G22+G21+G23+G24+G25+G26+G27+G34+G35</f>
        <v>5264300</v>
      </c>
      <c r="O6" s="27"/>
      <c r="P6" s="43"/>
      <c r="Q6" s="43"/>
      <c r="R6" s="44"/>
    </row>
    <row r="7" spans="1:18" hidden="1" x14ac:dyDescent="0.25">
      <c r="A7" s="320" t="s">
        <v>8</v>
      </c>
      <c r="B7" s="321" t="s">
        <v>9</v>
      </c>
      <c r="C7" s="322">
        <v>106000</v>
      </c>
      <c r="D7" s="1">
        <v>1101600</v>
      </c>
      <c r="E7" s="2" t="s">
        <v>10</v>
      </c>
      <c r="F7" s="21">
        <v>201367.3</v>
      </c>
      <c r="G7" s="4"/>
      <c r="H7" s="4"/>
      <c r="I7" s="11"/>
      <c r="J7" s="5"/>
      <c r="K7" s="4"/>
      <c r="L7" s="8"/>
      <c r="M7" s="4"/>
      <c r="N7" s="13"/>
      <c r="O7" s="28"/>
      <c r="P7" s="35"/>
      <c r="Q7" s="35"/>
      <c r="R7" s="45"/>
    </row>
    <row r="8" spans="1:18" hidden="1" x14ac:dyDescent="0.25">
      <c r="A8" s="320"/>
      <c r="B8" s="321"/>
      <c r="C8" s="322"/>
      <c r="D8" s="1">
        <v>1101630</v>
      </c>
      <c r="E8" s="2" t="s">
        <v>11</v>
      </c>
      <c r="F8" s="21">
        <v>4862.8999999999996</v>
      </c>
      <c r="G8" s="4"/>
      <c r="H8" s="4"/>
      <c r="I8" s="11"/>
      <c r="J8" s="5"/>
      <c r="K8" s="4"/>
      <c r="L8" s="8"/>
      <c r="M8" s="4"/>
      <c r="N8" s="13"/>
      <c r="O8" s="28"/>
      <c r="P8" s="35"/>
      <c r="Q8" s="35"/>
      <c r="R8" s="45"/>
    </row>
    <row r="9" spans="1:18" s="31" customFormat="1" ht="22.5" customHeight="1" x14ac:dyDescent="0.25">
      <c r="A9" s="53"/>
      <c r="B9" s="54"/>
      <c r="C9" s="55"/>
      <c r="D9" s="56">
        <v>1002600</v>
      </c>
      <c r="E9" s="148" t="s">
        <v>97</v>
      </c>
      <c r="F9" s="57"/>
      <c r="G9" s="51"/>
      <c r="H9" s="51"/>
      <c r="I9" s="58"/>
      <c r="J9" s="51"/>
      <c r="K9" s="51"/>
      <c r="L9" s="51"/>
      <c r="M9" s="51"/>
      <c r="N9" s="59"/>
      <c r="O9" s="60">
        <v>4846.8</v>
      </c>
      <c r="P9" s="51">
        <v>0</v>
      </c>
      <c r="Q9" s="51"/>
      <c r="R9" s="52"/>
    </row>
    <row r="10" spans="1:18" s="31" customFormat="1" ht="31.5" x14ac:dyDescent="0.25">
      <c r="A10" s="53" t="s">
        <v>12</v>
      </c>
      <c r="B10" s="54" t="s">
        <v>9</v>
      </c>
      <c r="C10" s="55">
        <v>60000</v>
      </c>
      <c r="D10" s="15">
        <v>1101600</v>
      </c>
      <c r="E10" s="61" t="s">
        <v>13</v>
      </c>
      <c r="F10" s="62">
        <v>612684</v>
      </c>
      <c r="G10" s="36"/>
      <c r="H10" s="36"/>
      <c r="I10" s="35"/>
      <c r="J10" s="51"/>
      <c r="K10" s="36"/>
      <c r="L10" s="63"/>
      <c r="M10" s="36"/>
      <c r="N10" s="64"/>
      <c r="O10" s="65">
        <f>G37+G47</f>
        <v>900000</v>
      </c>
      <c r="P10" s="36">
        <v>600000</v>
      </c>
      <c r="Q10" s="36">
        <v>661964.9</v>
      </c>
      <c r="R10" s="46">
        <v>622247</v>
      </c>
    </row>
    <row r="11" spans="1:18" s="31" customFormat="1" ht="27.95" customHeight="1" x14ac:dyDescent="0.25">
      <c r="A11" s="66" t="s">
        <v>14</v>
      </c>
      <c r="B11" s="67" t="s">
        <v>9</v>
      </c>
      <c r="C11" s="68">
        <v>500000</v>
      </c>
      <c r="D11" s="69">
        <v>1101610</v>
      </c>
      <c r="E11" s="70" t="s">
        <v>15</v>
      </c>
      <c r="F11" s="62">
        <v>30500</v>
      </c>
      <c r="G11" s="36">
        <f>200*1000</f>
        <v>200000</v>
      </c>
      <c r="H11" s="36">
        <f>G11*1.88</f>
        <v>376000</v>
      </c>
      <c r="I11" s="35"/>
      <c r="J11" s="51">
        <f>3072.1*1000/2.85</f>
        <v>1077929.8245614034</v>
      </c>
      <c r="K11" s="36">
        <f>J11*0.52</f>
        <v>560523.50877192977</v>
      </c>
      <c r="L11" s="63">
        <f>J11*0.94</f>
        <v>1013254.0350877191</v>
      </c>
      <c r="M11" s="36">
        <v>1277994</v>
      </c>
      <c r="N11" s="64"/>
      <c r="O11" s="65">
        <v>718118.1</v>
      </c>
      <c r="P11" s="36">
        <v>0</v>
      </c>
      <c r="Q11" s="36">
        <v>1485382.8</v>
      </c>
      <c r="R11" s="46">
        <v>2463514</v>
      </c>
    </row>
    <row r="12" spans="1:18" s="31" customFormat="1" ht="22.35" hidden="1" customHeight="1" x14ac:dyDescent="0.25">
      <c r="A12" s="53" t="s">
        <v>16</v>
      </c>
      <c r="B12" s="54" t="s">
        <v>9</v>
      </c>
      <c r="C12" s="55">
        <v>200000</v>
      </c>
      <c r="D12" s="15">
        <v>1101640</v>
      </c>
      <c r="E12" s="71" t="s">
        <v>17</v>
      </c>
      <c r="F12" s="62">
        <v>440000</v>
      </c>
      <c r="G12" s="36"/>
      <c r="H12" s="36"/>
      <c r="I12" s="35"/>
      <c r="J12" s="51"/>
      <c r="K12" s="36"/>
      <c r="L12" s="63"/>
      <c r="M12" s="36"/>
      <c r="N12" s="64"/>
      <c r="O12" s="65"/>
      <c r="P12" s="36"/>
      <c r="Q12" s="36"/>
      <c r="R12" s="46"/>
    </row>
    <row r="13" spans="1:18" s="80" customFormat="1" ht="34.15" customHeight="1" x14ac:dyDescent="0.25">
      <c r="A13" s="72" t="s">
        <v>34</v>
      </c>
      <c r="B13" s="73" t="s">
        <v>33</v>
      </c>
      <c r="C13" s="74">
        <v>150000</v>
      </c>
      <c r="D13" s="69">
        <v>1101620</v>
      </c>
      <c r="E13" s="75" t="s">
        <v>35</v>
      </c>
      <c r="F13" s="76">
        <v>300000</v>
      </c>
      <c r="G13" s="51">
        <v>300000</v>
      </c>
      <c r="H13" s="37">
        <f>G13*2</f>
        <v>600000</v>
      </c>
      <c r="I13" s="77"/>
      <c r="J13" s="51">
        <f>599700/2.85</f>
        <v>210421.05263157893</v>
      </c>
      <c r="K13" s="37">
        <f>J13/2</f>
        <v>105210.52631578947</v>
      </c>
      <c r="L13" s="63">
        <f>960000</f>
        <v>960000</v>
      </c>
      <c r="M13" s="37">
        <v>436360</v>
      </c>
      <c r="N13" s="78"/>
      <c r="O13" s="79">
        <f>G13+G49</f>
        <v>600000</v>
      </c>
      <c r="P13" s="37">
        <v>2072826</v>
      </c>
      <c r="Q13" s="37">
        <v>732526.6</v>
      </c>
      <c r="R13" s="47">
        <v>1450779</v>
      </c>
    </row>
    <row r="14" spans="1:18" s="80" customFormat="1" ht="27.75" customHeight="1" x14ac:dyDescent="0.25">
      <c r="A14" s="72"/>
      <c r="B14" s="73"/>
      <c r="C14" s="74"/>
      <c r="D14" s="15">
        <v>1101630</v>
      </c>
      <c r="E14" s="71" t="s">
        <v>11</v>
      </c>
      <c r="F14" s="76"/>
      <c r="G14" s="51"/>
      <c r="H14" s="37"/>
      <c r="I14" s="77"/>
      <c r="J14" s="51"/>
      <c r="K14" s="37"/>
      <c r="L14" s="63"/>
      <c r="M14" s="37"/>
      <c r="N14" s="78"/>
      <c r="O14" s="79">
        <v>19357.900000000001</v>
      </c>
      <c r="P14" s="37">
        <v>0</v>
      </c>
      <c r="Q14" s="37">
        <v>13599.7</v>
      </c>
      <c r="R14" s="47">
        <v>13599.7</v>
      </c>
    </row>
    <row r="15" spans="1:18" s="31" customFormat="1" ht="23.25" customHeight="1" x14ac:dyDescent="0.25">
      <c r="A15" s="53" t="s">
        <v>18</v>
      </c>
      <c r="B15" s="54" t="s">
        <v>9</v>
      </c>
      <c r="C15" s="55">
        <v>378425</v>
      </c>
      <c r="D15" s="15">
        <v>1101640</v>
      </c>
      <c r="E15" s="71" t="s">
        <v>17</v>
      </c>
      <c r="F15" s="62">
        <v>235920</v>
      </c>
      <c r="G15" s="36">
        <f>571.5*1000</f>
        <v>571500</v>
      </c>
      <c r="H15" s="36">
        <f>G15*1.88</f>
        <v>1074420</v>
      </c>
      <c r="I15" s="35"/>
      <c r="J15" s="51">
        <f>2887.4*1000/2.85</f>
        <v>1013122.8070175438</v>
      </c>
      <c r="K15" s="36">
        <f t="shared" ref="K15:K35" si="0">J15*0.52</f>
        <v>526823.85964912281</v>
      </c>
      <c r="L15" s="63">
        <f t="shared" ref="L15:L25" si="1">J15*0.94</f>
        <v>952335.43859649112</v>
      </c>
      <c r="M15" s="36">
        <v>1201158</v>
      </c>
      <c r="N15" s="64"/>
      <c r="O15" s="65">
        <f>G15</f>
        <v>571500</v>
      </c>
      <c r="P15" s="36">
        <v>106000</v>
      </c>
      <c r="Q15" s="36">
        <v>1013122.8</v>
      </c>
      <c r="R15" s="46">
        <v>952335.4</v>
      </c>
    </row>
    <row r="16" spans="1:18" s="80" customFormat="1" ht="29.25" customHeight="1" x14ac:dyDescent="0.25">
      <c r="A16" s="81" t="s">
        <v>36</v>
      </c>
      <c r="B16" s="73" t="s">
        <v>33</v>
      </c>
      <c r="C16" s="74">
        <v>150000</v>
      </c>
      <c r="D16" s="69">
        <v>1101650</v>
      </c>
      <c r="E16" s="82" t="s">
        <v>37</v>
      </c>
      <c r="F16" s="76">
        <v>650000</v>
      </c>
      <c r="G16" s="51">
        <v>650000</v>
      </c>
      <c r="H16" s="37">
        <f>G16*2</f>
        <v>1300000</v>
      </c>
      <c r="I16" s="77"/>
      <c r="J16" s="51">
        <f>600000/2.85</f>
        <v>210526.31578947368</v>
      </c>
      <c r="K16" s="37">
        <f>J16/2</f>
        <v>105263.15789473684</v>
      </c>
      <c r="L16" s="63">
        <v>0</v>
      </c>
      <c r="M16" s="37">
        <v>0</v>
      </c>
      <c r="N16" s="78"/>
      <c r="O16" s="79">
        <f>G16+G50</f>
        <v>1064900</v>
      </c>
      <c r="P16" s="37">
        <v>638225</v>
      </c>
      <c r="Q16" s="37">
        <v>385964.9</v>
      </c>
      <c r="R16" s="47">
        <v>0</v>
      </c>
    </row>
    <row r="17" spans="1:21" s="80" customFormat="1" ht="27.75" customHeight="1" x14ac:dyDescent="0.25">
      <c r="A17" s="83" t="s">
        <v>38</v>
      </c>
      <c r="B17" s="73" t="s">
        <v>33</v>
      </c>
      <c r="C17" s="74">
        <v>175000</v>
      </c>
      <c r="D17" s="69">
        <v>1101670</v>
      </c>
      <c r="E17" s="84" t="s">
        <v>39</v>
      </c>
      <c r="F17" s="76">
        <v>1100950</v>
      </c>
      <c r="G17" s="51">
        <v>900000</v>
      </c>
      <c r="H17" s="37">
        <f>G17*2</f>
        <v>1800000</v>
      </c>
      <c r="I17" s="77"/>
      <c r="J17" s="51">
        <f>499600/2.85</f>
        <v>175298.24561403508</v>
      </c>
      <c r="K17" s="37">
        <f>J17/2</f>
        <v>87649.122807017542</v>
      </c>
      <c r="L17" s="63">
        <v>0</v>
      </c>
      <c r="M17" s="37">
        <f>L17/2.2</f>
        <v>0</v>
      </c>
      <c r="N17" s="78"/>
      <c r="O17" s="79">
        <f>G17+G51-300000</f>
        <v>1580000</v>
      </c>
      <c r="P17" s="37">
        <v>0</v>
      </c>
      <c r="Q17" s="37">
        <v>490947.4</v>
      </c>
      <c r="R17" s="47">
        <v>0</v>
      </c>
    </row>
    <row r="18" spans="1:21" s="80" customFormat="1" ht="31.5" customHeight="1" x14ac:dyDescent="0.25">
      <c r="A18" s="83" t="s">
        <v>60</v>
      </c>
      <c r="B18" s="73" t="s">
        <v>33</v>
      </c>
      <c r="C18" s="74">
        <v>65500</v>
      </c>
      <c r="D18" s="85">
        <v>1101680</v>
      </c>
      <c r="E18" s="86" t="s">
        <v>61</v>
      </c>
      <c r="F18" s="76">
        <v>208000</v>
      </c>
      <c r="G18" s="51">
        <v>250000</v>
      </c>
      <c r="H18" s="37">
        <f>G18*2</f>
        <v>500000</v>
      </c>
      <c r="I18" s="77"/>
      <c r="J18" s="51">
        <f>474800/2.85</f>
        <v>166596.49122807017</v>
      </c>
      <c r="K18" s="37">
        <f>J18/2</f>
        <v>83298.245614035084</v>
      </c>
      <c r="L18" s="63">
        <f>J18*94/100/2</f>
        <v>78300.350877192977</v>
      </c>
      <c r="M18" s="37">
        <v>202869</v>
      </c>
      <c r="N18" s="78"/>
      <c r="O18" s="79">
        <f t="shared" ref="O18:O23" si="2">G18</f>
        <v>250000</v>
      </c>
      <c r="P18" s="37">
        <v>0</v>
      </c>
      <c r="Q18" s="37">
        <v>166596.5</v>
      </c>
      <c r="R18" s="47">
        <v>78300.399999999994</v>
      </c>
    </row>
    <row r="19" spans="1:21" s="80" customFormat="1" ht="34.15" customHeight="1" x14ac:dyDescent="0.25">
      <c r="A19" s="83" t="s">
        <v>62</v>
      </c>
      <c r="B19" s="73" t="s">
        <v>33</v>
      </c>
      <c r="C19" s="74">
        <v>300000</v>
      </c>
      <c r="D19" s="85">
        <v>1101690</v>
      </c>
      <c r="E19" s="86" t="s">
        <v>63</v>
      </c>
      <c r="F19" s="76">
        <v>50000</v>
      </c>
      <c r="G19" s="51">
        <v>200000</v>
      </c>
      <c r="H19" s="37">
        <v>200000</v>
      </c>
      <c r="I19" s="77"/>
      <c r="J19" s="51">
        <f>500000/2.85</f>
        <v>175438.59649122806</v>
      </c>
      <c r="K19" s="37">
        <f>J19/2</f>
        <v>87719.298245614031</v>
      </c>
      <c r="L19" s="63">
        <f>J19*94/100/2</f>
        <v>82456.140350877191</v>
      </c>
      <c r="M19" s="37">
        <v>213636</v>
      </c>
      <c r="N19" s="78"/>
      <c r="O19" s="79">
        <f t="shared" si="2"/>
        <v>200000</v>
      </c>
      <c r="P19" s="37">
        <v>0</v>
      </c>
      <c r="Q19" s="37">
        <v>175438.6</v>
      </c>
      <c r="R19" s="47">
        <v>82456.100000000006</v>
      </c>
    </row>
    <row r="20" spans="1:21" s="23" customFormat="1" ht="30.75" customHeight="1" x14ac:dyDescent="0.25">
      <c r="A20" s="87" t="s">
        <v>48</v>
      </c>
      <c r="B20" s="73" t="s">
        <v>33</v>
      </c>
      <c r="C20" s="88">
        <v>108000</v>
      </c>
      <c r="D20" s="89">
        <v>2201610</v>
      </c>
      <c r="E20" s="90" t="s">
        <v>49</v>
      </c>
      <c r="F20" s="22">
        <v>20000</v>
      </c>
      <c r="G20" s="6">
        <v>80000</v>
      </c>
      <c r="H20" s="37">
        <f>G20*2</f>
        <v>160000</v>
      </c>
      <c r="I20" s="48"/>
      <c r="J20" s="6">
        <f>200000/2.85</f>
        <v>70175.438596491222</v>
      </c>
      <c r="K20" s="37">
        <f>J20/2</f>
        <v>35087.719298245611</v>
      </c>
      <c r="L20" s="63">
        <f>J20*94/100</f>
        <v>65964.912280701756</v>
      </c>
      <c r="M20" s="37">
        <v>85460</v>
      </c>
      <c r="N20" s="78"/>
      <c r="O20" s="79">
        <f t="shared" si="2"/>
        <v>80000</v>
      </c>
      <c r="P20" s="79">
        <v>920000</v>
      </c>
      <c r="Q20" s="79">
        <v>200000</v>
      </c>
      <c r="R20" s="129">
        <v>200000</v>
      </c>
    </row>
    <row r="21" spans="1:21" s="31" customFormat="1" ht="19.5" customHeight="1" x14ac:dyDescent="0.25">
      <c r="A21" s="334" t="s">
        <v>19</v>
      </c>
      <c r="B21" s="335" t="s">
        <v>9</v>
      </c>
      <c r="C21" s="336">
        <v>214729.837</v>
      </c>
      <c r="D21" s="91">
        <v>2301610</v>
      </c>
      <c r="E21" s="92" t="s">
        <v>20</v>
      </c>
      <c r="F21" s="62">
        <f>33020.4+148.8</f>
        <v>33169.200000000004</v>
      </c>
      <c r="G21" s="36">
        <f>150*1000</f>
        <v>150000</v>
      </c>
      <c r="H21" s="51">
        <f>G21*1.88-100000</f>
        <v>182000</v>
      </c>
      <c r="I21" s="35"/>
      <c r="J21" s="51">
        <f>108.3*1000/2.85</f>
        <v>38000</v>
      </c>
      <c r="K21" s="36">
        <f t="shared" si="0"/>
        <v>19760</v>
      </c>
      <c r="L21" s="63">
        <f t="shared" si="1"/>
        <v>35720</v>
      </c>
      <c r="M21" s="36">
        <v>45052</v>
      </c>
      <c r="N21" s="64"/>
      <c r="O21" s="65">
        <f t="shared" si="2"/>
        <v>150000</v>
      </c>
      <c r="P21" s="36">
        <v>0</v>
      </c>
      <c r="Q21" s="36">
        <v>38000</v>
      </c>
      <c r="R21" s="46">
        <v>35720</v>
      </c>
      <c r="U21" s="33"/>
    </row>
    <row r="22" spans="1:21" s="31" customFormat="1" ht="52.5" customHeight="1" x14ac:dyDescent="0.25">
      <c r="A22" s="334"/>
      <c r="B22" s="335"/>
      <c r="C22" s="336"/>
      <c r="D22" s="91">
        <v>2311600</v>
      </c>
      <c r="E22" s="92" t="s">
        <v>21</v>
      </c>
      <c r="F22" s="62">
        <f>129738.8+49976.6</f>
        <v>179715.4</v>
      </c>
      <c r="G22" s="36">
        <f>500*1000</f>
        <v>500000</v>
      </c>
      <c r="H22" s="51">
        <f>G22*1.88+100000</f>
        <v>1040000</v>
      </c>
      <c r="I22" s="35"/>
      <c r="J22" s="51">
        <f>363*1000/2.85</f>
        <v>127368.42105263157</v>
      </c>
      <c r="K22" s="36">
        <f t="shared" si="0"/>
        <v>66231.578947368427</v>
      </c>
      <c r="L22" s="63">
        <f t="shared" si="1"/>
        <v>119726.31578947367</v>
      </c>
      <c r="M22" s="36">
        <f t="shared" ref="M22:M35" si="3">K22*0.8</f>
        <v>52985.263157894748</v>
      </c>
      <c r="N22" s="64"/>
      <c r="O22" s="65">
        <f t="shared" si="2"/>
        <v>500000</v>
      </c>
      <c r="P22" s="36">
        <v>2710603.5</v>
      </c>
      <c r="Q22" s="36">
        <v>127368.4</v>
      </c>
      <c r="R22" s="46">
        <v>119726.3</v>
      </c>
    </row>
    <row r="23" spans="1:21" s="31" customFormat="1" ht="33.4" customHeight="1" x14ac:dyDescent="0.25">
      <c r="A23" s="93" t="s">
        <v>22</v>
      </c>
      <c r="B23" s="94" t="s">
        <v>9</v>
      </c>
      <c r="C23" s="95">
        <v>300000</v>
      </c>
      <c r="D23" s="96">
        <v>2501630</v>
      </c>
      <c r="E23" s="97" t="s">
        <v>23</v>
      </c>
      <c r="F23" s="62">
        <v>274686.40000000002</v>
      </c>
      <c r="G23" s="36">
        <f>500*1000</f>
        <v>500000</v>
      </c>
      <c r="H23" s="36">
        <f>G23*1.88</f>
        <v>940000</v>
      </c>
      <c r="I23" s="35"/>
      <c r="J23" s="51">
        <f>431.9*1000/2.85</f>
        <v>151543.85964912281</v>
      </c>
      <c r="K23" s="36">
        <f t="shared" si="0"/>
        <v>78802.807017543862</v>
      </c>
      <c r="L23" s="63">
        <f t="shared" si="1"/>
        <v>142451.22807017542</v>
      </c>
      <c r="M23" s="36">
        <v>179670</v>
      </c>
      <c r="N23" s="64"/>
      <c r="O23" s="65">
        <f t="shared" si="2"/>
        <v>500000</v>
      </c>
      <c r="P23" s="36">
        <v>0</v>
      </c>
      <c r="Q23" s="36">
        <v>151543.9</v>
      </c>
      <c r="R23" s="46">
        <v>142451.29999999999</v>
      </c>
    </row>
    <row r="24" spans="1:21" s="31" customFormat="1" ht="47.25" x14ac:dyDescent="0.25">
      <c r="A24" s="337" t="s">
        <v>24</v>
      </c>
      <c r="B24" s="338" t="s">
        <v>9</v>
      </c>
      <c r="C24" s="339">
        <v>350000</v>
      </c>
      <c r="D24" s="15">
        <v>2751600</v>
      </c>
      <c r="E24" s="98" t="s">
        <v>25</v>
      </c>
      <c r="F24" s="62">
        <f>501588.9</f>
        <v>501588.9</v>
      </c>
      <c r="G24" s="36">
        <f>501.6*1000</f>
        <v>501600</v>
      </c>
      <c r="H24" s="36">
        <f>G24*1.88</f>
        <v>943008</v>
      </c>
      <c r="I24" s="35"/>
      <c r="J24" s="51">
        <f>4778*1000/2.85</f>
        <v>1676491.2280701753</v>
      </c>
      <c r="K24" s="51">
        <f>J24*0.52-1000000</f>
        <v>-128224.56140350888</v>
      </c>
      <c r="L24" s="63">
        <f t="shared" si="1"/>
        <v>1575901.7543859647</v>
      </c>
      <c r="M24" s="36">
        <f t="shared" si="3"/>
        <v>-102579.64912280711</v>
      </c>
      <c r="N24" s="64"/>
      <c r="O24" s="65">
        <f>G24+G26+G53+G67</f>
        <v>1401800</v>
      </c>
      <c r="P24" s="38">
        <v>2381198.4</v>
      </c>
      <c r="Q24" s="36">
        <v>2439016.7999999998</v>
      </c>
      <c r="R24" s="46">
        <v>3004641.4</v>
      </c>
    </row>
    <row r="25" spans="1:21" s="31" customFormat="1" ht="33.4" customHeight="1" x14ac:dyDescent="0.25">
      <c r="A25" s="337"/>
      <c r="B25" s="338"/>
      <c r="C25" s="339"/>
      <c r="D25" s="15">
        <v>2751610</v>
      </c>
      <c r="E25" s="98" t="s">
        <v>26</v>
      </c>
      <c r="F25" s="62">
        <v>10154.700000000001</v>
      </c>
      <c r="G25" s="36">
        <f>10.2*1000</f>
        <v>10200</v>
      </c>
      <c r="H25" s="36">
        <f>G25*1.88</f>
        <v>19176</v>
      </c>
      <c r="I25" s="35"/>
      <c r="J25" s="51">
        <f>151.2*1000/2.85</f>
        <v>53052.631578947367</v>
      </c>
      <c r="K25" s="36">
        <f t="shared" si="0"/>
        <v>27587.36842105263</v>
      </c>
      <c r="L25" s="63">
        <f t="shared" si="1"/>
        <v>49869.473684210519</v>
      </c>
      <c r="M25" s="36">
        <v>62900</v>
      </c>
      <c r="N25" s="64"/>
      <c r="O25" s="65">
        <f>G25+G27+G55+G58</f>
        <v>38800</v>
      </c>
      <c r="P25" s="36">
        <v>30809.4</v>
      </c>
      <c r="Q25" s="38">
        <v>73403.5</v>
      </c>
      <c r="R25" s="130">
        <v>68999.3</v>
      </c>
    </row>
    <row r="26" spans="1:21" s="31" customFormat="1" ht="47.25" hidden="1" x14ac:dyDescent="0.25">
      <c r="A26" s="337" t="s">
        <v>27</v>
      </c>
      <c r="B26" s="338" t="s">
        <v>9</v>
      </c>
      <c r="C26" s="339">
        <v>382000</v>
      </c>
      <c r="D26" s="15">
        <v>2751600</v>
      </c>
      <c r="E26" s="98" t="s">
        <v>25</v>
      </c>
      <c r="F26" s="62">
        <v>526048.69999999995</v>
      </c>
      <c r="G26" s="36">
        <f>600*1000</f>
        <v>600000</v>
      </c>
      <c r="H26" s="36">
        <f>G26*1.88</f>
        <v>1128000</v>
      </c>
      <c r="I26" s="35"/>
      <c r="J26" s="51">
        <f>1814.4*1000/2.85</f>
        <v>636631.57894736843</v>
      </c>
      <c r="K26" s="51">
        <f>J26*0.52+1000000</f>
        <v>1331048.4210526315</v>
      </c>
      <c r="L26" s="63">
        <f>(J26*0.94+2000000)/2</f>
        <v>1299216.8421052631</v>
      </c>
      <c r="M26" s="36">
        <v>1554790</v>
      </c>
      <c r="N26" s="64"/>
      <c r="O26" s="65"/>
      <c r="P26" s="36"/>
      <c r="Q26" s="36"/>
      <c r="R26" s="46"/>
    </row>
    <row r="27" spans="1:21" s="31" customFormat="1" ht="31.5" hidden="1" x14ac:dyDescent="0.25">
      <c r="A27" s="337"/>
      <c r="B27" s="338"/>
      <c r="C27" s="339"/>
      <c r="D27" s="15">
        <v>2751610</v>
      </c>
      <c r="E27" s="98" t="s">
        <v>26</v>
      </c>
      <c r="F27" s="62">
        <v>13574.3</v>
      </c>
      <c r="G27" s="36">
        <f>13.6*1000</f>
        <v>13600</v>
      </c>
      <c r="H27" s="36">
        <f>G27*1.88</f>
        <v>25568</v>
      </c>
      <c r="I27" s="35"/>
      <c r="J27" s="51">
        <f>31*1000/2.85</f>
        <v>10877.192982456139</v>
      </c>
      <c r="K27" s="36">
        <f t="shared" si="0"/>
        <v>5656.1403508771928</v>
      </c>
      <c r="L27" s="63">
        <f>J27*0.94</f>
        <v>10224.561403508771</v>
      </c>
      <c r="M27" s="36">
        <f t="shared" si="3"/>
        <v>4524.9122807017548</v>
      </c>
      <c r="N27" s="64"/>
      <c r="O27" s="65"/>
      <c r="P27" s="36"/>
      <c r="Q27" s="36"/>
      <c r="R27" s="46"/>
    </row>
    <row r="28" spans="1:21" s="31" customFormat="1" ht="23.25" customHeight="1" x14ac:dyDescent="0.25">
      <c r="A28" s="53"/>
      <c r="B28" s="54"/>
      <c r="C28" s="55"/>
      <c r="D28" s="15">
        <v>2751630</v>
      </c>
      <c r="E28" s="99" t="s">
        <v>52</v>
      </c>
      <c r="F28" s="62"/>
      <c r="G28" s="51">
        <v>400000</v>
      </c>
      <c r="H28" s="36"/>
      <c r="I28" s="35"/>
      <c r="J28" s="51"/>
      <c r="K28" s="36"/>
      <c r="L28" s="63"/>
      <c r="M28" s="36"/>
      <c r="N28" s="64"/>
      <c r="O28" s="79">
        <v>50000</v>
      </c>
      <c r="P28" s="36">
        <v>0</v>
      </c>
      <c r="Q28" s="36">
        <v>50000</v>
      </c>
      <c r="R28" s="46">
        <v>50000</v>
      </c>
    </row>
    <row r="29" spans="1:21" s="31" customFormat="1" ht="24.75" customHeight="1" x14ac:dyDescent="0.25">
      <c r="A29" s="53"/>
      <c r="B29" s="54"/>
      <c r="C29" s="55"/>
      <c r="D29" s="69">
        <v>2751640</v>
      </c>
      <c r="E29" s="100" t="s">
        <v>55</v>
      </c>
      <c r="F29" s="62"/>
      <c r="G29" s="51">
        <v>200000</v>
      </c>
      <c r="H29" s="37">
        <f>G29*2</f>
        <v>400000</v>
      </c>
      <c r="I29" s="77"/>
      <c r="J29" s="51">
        <f>500000/2.85</f>
        <v>175438.59649122806</v>
      </c>
      <c r="K29" s="37">
        <f>J29/2</f>
        <v>87719.298245614031</v>
      </c>
      <c r="L29" s="63">
        <f>J29*94/100</f>
        <v>164912.28070175438</v>
      </c>
      <c r="M29" s="37">
        <v>213640</v>
      </c>
      <c r="N29" s="78"/>
      <c r="O29" s="79">
        <v>200000</v>
      </c>
      <c r="P29" s="36">
        <v>0</v>
      </c>
      <c r="Q29" s="36">
        <v>175438.6</v>
      </c>
      <c r="R29" s="46">
        <v>164912.29999999999</v>
      </c>
    </row>
    <row r="30" spans="1:21" s="80" customFormat="1" ht="26.45" customHeight="1" x14ac:dyDescent="0.25">
      <c r="A30" s="101" t="s">
        <v>65</v>
      </c>
      <c r="B30" s="102" t="s">
        <v>33</v>
      </c>
      <c r="C30" s="103">
        <v>300000</v>
      </c>
      <c r="D30" s="69">
        <v>2751650</v>
      </c>
      <c r="E30" s="98" t="s">
        <v>66</v>
      </c>
      <c r="F30" s="76">
        <v>560000</v>
      </c>
      <c r="G30" s="51">
        <v>562684</v>
      </c>
      <c r="H30" s="37">
        <v>600000</v>
      </c>
      <c r="I30" s="77"/>
      <c r="J30" s="51">
        <f>500000/2.85</f>
        <v>175438.59649122806</v>
      </c>
      <c r="K30" s="37">
        <f>J30/2</f>
        <v>87719.298245614031</v>
      </c>
      <c r="L30" s="63">
        <f>J30*94/100/2</f>
        <v>82456.140350877191</v>
      </c>
      <c r="M30" s="37">
        <v>213636</v>
      </c>
      <c r="N30" s="78"/>
      <c r="O30" s="79">
        <f>G30</f>
        <v>562684</v>
      </c>
      <c r="P30" s="37">
        <v>0</v>
      </c>
      <c r="Q30" s="37">
        <v>175438.6</v>
      </c>
      <c r="R30" s="47">
        <v>82456.100000000006</v>
      </c>
    </row>
    <row r="31" spans="1:21" s="80" customFormat="1" ht="33" customHeight="1" x14ac:dyDescent="0.25">
      <c r="A31" s="101"/>
      <c r="B31" s="102"/>
      <c r="C31" s="103"/>
      <c r="D31" s="15">
        <v>2761600</v>
      </c>
      <c r="E31" s="104" t="s">
        <v>53</v>
      </c>
      <c r="F31" s="76"/>
      <c r="G31" s="51">
        <v>200000</v>
      </c>
      <c r="H31" s="37">
        <f>G31*2</f>
        <v>400000</v>
      </c>
      <c r="I31" s="77"/>
      <c r="J31" s="51">
        <f>500000/2.85</f>
        <v>175438.59649122806</v>
      </c>
      <c r="K31" s="37">
        <f>J31/2</f>
        <v>87719.298245614031</v>
      </c>
      <c r="L31" s="63">
        <f>J31*94/100</f>
        <v>164912.28070175438</v>
      </c>
      <c r="M31" s="37">
        <v>213600</v>
      </c>
      <c r="N31" s="78"/>
      <c r="O31" s="79">
        <f>550000+1000000</f>
        <v>1550000</v>
      </c>
      <c r="P31" s="37">
        <v>0</v>
      </c>
      <c r="Q31" s="37">
        <v>660000</v>
      </c>
      <c r="R31" s="47">
        <v>620000</v>
      </c>
    </row>
    <row r="32" spans="1:21" s="80" customFormat="1" ht="23.25" customHeight="1" x14ac:dyDescent="0.25">
      <c r="A32" s="83" t="s">
        <v>67</v>
      </c>
      <c r="B32" s="73" t="s">
        <v>33</v>
      </c>
      <c r="C32" s="74">
        <v>300000</v>
      </c>
      <c r="D32" s="85">
        <v>3101600</v>
      </c>
      <c r="E32" s="86" t="s">
        <v>68</v>
      </c>
      <c r="F32" s="105">
        <v>179000</v>
      </c>
      <c r="G32" s="51">
        <v>250000</v>
      </c>
      <c r="H32" s="37">
        <f>G32*2</f>
        <v>500000</v>
      </c>
      <c r="I32" s="77"/>
      <c r="J32" s="51">
        <f>300000/2.85</f>
        <v>105263.15789473684</v>
      </c>
      <c r="K32" s="37">
        <f>J32/2</f>
        <v>52631.57894736842</v>
      </c>
      <c r="L32" s="63">
        <f>J32*94/100/2</f>
        <v>49473.68421052632</v>
      </c>
      <c r="M32" s="37">
        <v>128181</v>
      </c>
      <c r="N32" s="78"/>
      <c r="O32" s="79">
        <f>G32</f>
        <v>250000</v>
      </c>
      <c r="P32" s="146">
        <v>329840</v>
      </c>
      <c r="Q32" s="146">
        <v>300000</v>
      </c>
      <c r="R32" s="147">
        <v>0</v>
      </c>
      <c r="S32" s="143"/>
    </row>
    <row r="33" spans="1:18" s="80" customFormat="1" ht="33" customHeight="1" x14ac:dyDescent="0.25">
      <c r="A33" s="83"/>
      <c r="B33" s="73"/>
      <c r="C33" s="74"/>
      <c r="D33" s="56">
        <v>3111610</v>
      </c>
      <c r="E33" s="148" t="s">
        <v>98</v>
      </c>
      <c r="F33" s="57"/>
      <c r="G33" s="51"/>
      <c r="H33" s="51"/>
      <c r="I33" s="58"/>
      <c r="J33" s="51"/>
      <c r="K33" s="51"/>
      <c r="L33" s="51"/>
      <c r="M33" s="51"/>
      <c r="N33" s="59"/>
      <c r="O33" s="60">
        <v>47083.199999999997</v>
      </c>
      <c r="P33" s="51">
        <v>0</v>
      </c>
      <c r="Q33" s="51"/>
      <c r="R33" s="52"/>
    </row>
    <row r="34" spans="1:18" s="31" customFormat="1" ht="21.75" customHeight="1" x14ac:dyDescent="0.25">
      <c r="A34" s="106" t="s">
        <v>28</v>
      </c>
      <c r="B34" s="54" t="s">
        <v>9</v>
      </c>
      <c r="C34" s="55">
        <v>450000</v>
      </c>
      <c r="D34" s="15">
        <v>3111600</v>
      </c>
      <c r="E34" s="71" t="s">
        <v>29</v>
      </c>
      <c r="F34" s="62">
        <v>1823084.5</v>
      </c>
      <c r="G34" s="36">
        <f>1717.4*1000</f>
        <v>1717400</v>
      </c>
      <c r="H34" s="51">
        <f>G34*1.88-1000000</f>
        <v>2228712</v>
      </c>
      <c r="I34" s="35"/>
      <c r="J34" s="51"/>
      <c r="K34" s="36"/>
      <c r="L34" s="63"/>
      <c r="M34" s="36"/>
      <c r="N34" s="64"/>
      <c r="O34" s="79">
        <f>G34+G35+G43+G44+G59+G60-700000</f>
        <v>3717400</v>
      </c>
      <c r="P34" s="36">
        <v>0</v>
      </c>
      <c r="Q34" s="36">
        <v>3638386</v>
      </c>
      <c r="R34" s="46">
        <v>3847502.3</v>
      </c>
    </row>
    <row r="35" spans="1:18" s="31" customFormat="1" ht="36.950000000000003" hidden="1" customHeight="1" x14ac:dyDescent="0.25">
      <c r="A35" s="106" t="s">
        <v>30</v>
      </c>
      <c r="B35" s="54" t="s">
        <v>9</v>
      </c>
      <c r="C35" s="55">
        <v>560000</v>
      </c>
      <c r="D35" s="15">
        <v>3111600</v>
      </c>
      <c r="E35" s="99" t="s">
        <v>29</v>
      </c>
      <c r="F35" s="62">
        <v>223493.4</v>
      </c>
      <c r="G35" s="36">
        <f>500*1000</f>
        <v>500000</v>
      </c>
      <c r="H35" s="51">
        <f>G35*1.88+1000000</f>
        <v>1940000</v>
      </c>
      <c r="I35" s="35"/>
      <c r="J35" s="51">
        <f>5040*1000/2.85</f>
        <v>1768421.0526315789</v>
      </c>
      <c r="K35" s="36">
        <f t="shared" si="0"/>
        <v>919578.94736842101</v>
      </c>
      <c r="L35" s="63">
        <f>J35*0.94</f>
        <v>1662315.789473684</v>
      </c>
      <c r="M35" s="36">
        <f t="shared" si="3"/>
        <v>735663.15789473685</v>
      </c>
      <c r="N35" s="64"/>
      <c r="O35" s="65"/>
      <c r="P35" s="36"/>
      <c r="Q35" s="36"/>
      <c r="R35" s="46"/>
    </row>
    <row r="36" spans="1:18" s="32" customFormat="1" hidden="1" x14ac:dyDescent="0.25">
      <c r="A36" s="353" t="s">
        <v>31</v>
      </c>
      <c r="B36" s="354"/>
      <c r="C36" s="354"/>
      <c r="D36" s="354"/>
      <c r="E36" s="354"/>
      <c r="F36" s="39">
        <f>F37+F38+F13+F16+F17+F43+F44+F45</f>
        <v>4343998.3</v>
      </c>
      <c r="G36" s="39">
        <f>G37+G38+G13+G16+G17+G43+G44+G45</f>
        <v>3790000</v>
      </c>
      <c r="H36" s="39">
        <f>H37+H38+H13+H16+H17+H43+H44+H45</f>
        <v>7300000</v>
      </c>
      <c r="I36" s="43"/>
      <c r="J36" s="39">
        <f>J37+J38+J13+J16+J17+J43+J44+J45</f>
        <v>2711894.7368421052</v>
      </c>
      <c r="K36" s="39">
        <f>K37+K38+K13+K16+K17+K43+K44+K45</f>
        <v>1862225.9298245611</v>
      </c>
      <c r="L36" s="39">
        <f>L37+L38+L13+L16+L17+L43+L44+L45</f>
        <v>4016780.3508771928</v>
      </c>
      <c r="M36" s="39">
        <f>M37+M38+M13+M16+M17+M43+M44+M45</f>
        <v>3387195</v>
      </c>
      <c r="N36" s="107">
        <f>G37+G38+G13+G16+G17+G43+G44+G45</f>
        <v>3790000</v>
      </c>
      <c r="O36" s="108"/>
      <c r="P36" s="39"/>
      <c r="Q36" s="39"/>
      <c r="R36" s="49"/>
    </row>
    <row r="37" spans="1:18" s="80" customFormat="1" ht="21.95" hidden="1" customHeight="1" x14ac:dyDescent="0.25">
      <c r="A37" s="81" t="s">
        <v>32</v>
      </c>
      <c r="B37" s="73" t="s">
        <v>33</v>
      </c>
      <c r="C37" s="74">
        <v>200000</v>
      </c>
      <c r="D37" s="69">
        <v>1101600</v>
      </c>
      <c r="E37" s="109" t="s">
        <v>13</v>
      </c>
      <c r="F37" s="76">
        <v>500000</v>
      </c>
      <c r="G37" s="51">
        <v>600000</v>
      </c>
      <c r="H37" s="37">
        <f>G37*2</f>
        <v>1200000</v>
      </c>
      <c r="I37" s="77"/>
      <c r="J37" s="51">
        <f>943300/2.85</f>
        <v>330982.45614035084</v>
      </c>
      <c r="K37" s="37">
        <f>J37/2</f>
        <v>165491.22807017542</v>
      </c>
      <c r="L37" s="63">
        <f>J37*94/100</f>
        <v>311123.50877192977</v>
      </c>
      <c r="M37" s="37">
        <v>403080</v>
      </c>
      <c r="N37" s="78"/>
      <c r="O37" s="79"/>
      <c r="P37" s="37"/>
      <c r="Q37" s="37"/>
      <c r="R37" s="47"/>
    </row>
    <row r="38" spans="1:18" s="80" customFormat="1" ht="21.95" hidden="1" customHeight="1" x14ac:dyDescent="0.25">
      <c r="A38" s="66" t="s">
        <v>14</v>
      </c>
      <c r="B38" s="73"/>
      <c r="C38" s="74"/>
      <c r="D38" s="69">
        <v>1101610</v>
      </c>
      <c r="E38" s="70" t="s">
        <v>15</v>
      </c>
      <c r="F38" s="76"/>
      <c r="G38" s="51">
        <v>200000</v>
      </c>
      <c r="H38" s="37">
        <v>100000</v>
      </c>
      <c r="I38" s="77"/>
      <c r="J38" s="51">
        <f>400000/2.85</f>
        <v>140350.87719298244</v>
      </c>
      <c r="K38" s="37">
        <v>576454</v>
      </c>
      <c r="L38" s="63">
        <f>1200000</f>
        <v>1200000</v>
      </c>
      <c r="M38" s="37">
        <v>545450</v>
      </c>
      <c r="N38" s="78"/>
      <c r="O38" s="79"/>
      <c r="P38" s="37"/>
      <c r="Q38" s="37"/>
      <c r="R38" s="47"/>
    </row>
    <row r="39" spans="1:18" s="80" customFormat="1" ht="21.95" customHeight="1" x14ac:dyDescent="0.25">
      <c r="A39" s="66"/>
      <c r="B39" s="73"/>
      <c r="C39" s="74"/>
      <c r="D39" s="56">
        <v>3507610</v>
      </c>
      <c r="E39" s="148" t="s">
        <v>99</v>
      </c>
      <c r="F39" s="57"/>
      <c r="G39" s="51"/>
      <c r="H39" s="51"/>
      <c r="I39" s="58"/>
      <c r="J39" s="51"/>
      <c r="K39" s="51"/>
      <c r="L39" s="51"/>
      <c r="M39" s="51"/>
      <c r="N39" s="59"/>
      <c r="O39" s="60">
        <v>17310</v>
      </c>
      <c r="P39" s="51">
        <v>0</v>
      </c>
      <c r="Q39" s="51"/>
      <c r="R39" s="52"/>
    </row>
    <row r="40" spans="1:18" s="80" customFormat="1" ht="30.75" customHeight="1" x14ac:dyDescent="0.25">
      <c r="A40" s="110" t="s">
        <v>57</v>
      </c>
      <c r="B40" s="73" t="s">
        <v>33</v>
      </c>
      <c r="C40" s="74">
        <v>400000</v>
      </c>
      <c r="D40" s="69">
        <v>3511620</v>
      </c>
      <c r="E40" s="111" t="s">
        <v>58</v>
      </c>
      <c r="F40" s="76">
        <v>200000</v>
      </c>
      <c r="G40" s="51">
        <v>300000</v>
      </c>
      <c r="H40" s="37">
        <f>G40*2</f>
        <v>600000</v>
      </c>
      <c r="I40" s="77"/>
      <c r="J40" s="51">
        <f>3594400/2.85</f>
        <v>1261192.9824561402</v>
      </c>
      <c r="K40" s="37">
        <v>1791200</v>
      </c>
      <c r="L40" s="63">
        <f>J40*94/100/1.3+18000</f>
        <v>929939.54116059374</v>
      </c>
      <c r="M40" s="37">
        <v>1067240</v>
      </c>
      <c r="N40" s="78"/>
      <c r="O40" s="79">
        <v>485760</v>
      </c>
      <c r="P40" s="37">
        <v>0</v>
      </c>
      <c r="Q40" s="37">
        <v>2357017.2000000002</v>
      </c>
      <c r="R40" s="47">
        <v>2310459.9</v>
      </c>
    </row>
    <row r="41" spans="1:18" s="31" customFormat="1" hidden="1" x14ac:dyDescent="0.25">
      <c r="A41" s="112"/>
      <c r="B41" s="35"/>
      <c r="C41" s="35"/>
      <c r="D41" s="35"/>
      <c r="E41" s="35"/>
      <c r="F41" s="113"/>
      <c r="G41" s="113"/>
      <c r="H41" s="35"/>
      <c r="I41" s="35"/>
      <c r="J41" s="35"/>
      <c r="K41" s="35"/>
      <c r="L41" s="35"/>
      <c r="M41" s="35"/>
      <c r="N41" s="35"/>
      <c r="O41" s="65"/>
      <c r="P41" s="36"/>
      <c r="Q41" s="36"/>
      <c r="R41" s="46"/>
    </row>
    <row r="42" spans="1:18" s="31" customFormat="1" hidden="1" x14ac:dyDescent="0.25">
      <c r="A42" s="112"/>
      <c r="B42" s="35"/>
      <c r="C42" s="35"/>
      <c r="D42" s="35"/>
      <c r="E42" s="35"/>
      <c r="F42" s="113"/>
      <c r="G42" s="113"/>
      <c r="H42" s="35"/>
      <c r="I42" s="35"/>
      <c r="J42" s="35"/>
      <c r="K42" s="35"/>
      <c r="L42" s="35"/>
      <c r="M42" s="35"/>
      <c r="N42" s="35"/>
      <c r="O42" s="65"/>
      <c r="P42" s="36"/>
      <c r="Q42" s="36"/>
      <c r="R42" s="46"/>
    </row>
    <row r="43" spans="1:18" s="80" customFormat="1" ht="47.25" hidden="1" x14ac:dyDescent="0.25">
      <c r="A43" s="83" t="s">
        <v>40</v>
      </c>
      <c r="B43" s="73" t="s">
        <v>33</v>
      </c>
      <c r="C43" s="74">
        <v>450000</v>
      </c>
      <c r="D43" s="69">
        <v>3111600</v>
      </c>
      <c r="E43" s="100" t="s">
        <v>29</v>
      </c>
      <c r="F43" s="76">
        <v>1193048.3</v>
      </c>
      <c r="G43" s="51">
        <v>900000</v>
      </c>
      <c r="H43" s="37">
        <f>G43*2</f>
        <v>1800000</v>
      </c>
      <c r="I43" s="77"/>
      <c r="J43" s="51">
        <f>493100/2.85</f>
        <v>173017.54385964913</v>
      </c>
      <c r="K43" s="37">
        <f t="shared" ref="K43:K74" si="4">J43/2</f>
        <v>86508.771929824565</v>
      </c>
      <c r="L43" s="63">
        <f>J43*94/100</f>
        <v>162636.4912280702</v>
      </c>
      <c r="M43" s="37">
        <v>210670</v>
      </c>
      <c r="N43" s="78"/>
      <c r="O43" s="79"/>
      <c r="P43" s="37"/>
      <c r="Q43" s="37"/>
      <c r="R43" s="47"/>
    </row>
    <row r="44" spans="1:18" s="80" customFormat="1" ht="31.5" hidden="1" x14ac:dyDescent="0.25">
      <c r="A44" s="83" t="s">
        <v>41</v>
      </c>
      <c r="B44" s="73" t="s">
        <v>33</v>
      </c>
      <c r="C44" s="74">
        <v>400000</v>
      </c>
      <c r="D44" s="69">
        <v>3111600</v>
      </c>
      <c r="E44" s="100" t="s">
        <v>29</v>
      </c>
      <c r="F44" s="76">
        <v>200000</v>
      </c>
      <c r="G44" s="51">
        <v>200000</v>
      </c>
      <c r="H44" s="37">
        <f>G44*2</f>
        <v>400000</v>
      </c>
      <c r="I44" s="77"/>
      <c r="J44" s="51">
        <f>2021600/2.85</f>
        <v>709333.33333333326</v>
      </c>
      <c r="K44" s="37">
        <f t="shared" si="4"/>
        <v>354666.66666666663</v>
      </c>
      <c r="L44" s="63">
        <f>J44*94/100</f>
        <v>666773.33333333326</v>
      </c>
      <c r="M44" s="37">
        <v>863775</v>
      </c>
      <c r="N44" s="78"/>
      <c r="O44" s="79"/>
      <c r="P44" s="37"/>
      <c r="Q44" s="37"/>
      <c r="R44" s="47"/>
    </row>
    <row r="45" spans="1:18" s="80" customFormat="1" ht="36" customHeight="1" thickBot="1" x14ac:dyDescent="0.3">
      <c r="A45" s="81" t="s">
        <v>42</v>
      </c>
      <c r="B45" s="73" t="s">
        <v>33</v>
      </c>
      <c r="C45" s="74">
        <v>152000</v>
      </c>
      <c r="D45" s="69">
        <v>3511670</v>
      </c>
      <c r="E45" s="84" t="s">
        <v>43</v>
      </c>
      <c r="F45" s="76">
        <v>400000</v>
      </c>
      <c r="G45" s="51">
        <v>40000</v>
      </c>
      <c r="H45" s="37">
        <v>100000</v>
      </c>
      <c r="I45" s="77"/>
      <c r="J45" s="51">
        <f>2171600/2.85</f>
        <v>761964.91228070168</v>
      </c>
      <c r="K45" s="37">
        <f t="shared" si="4"/>
        <v>380982.45614035084</v>
      </c>
      <c r="L45" s="63">
        <f>J45*94/100</f>
        <v>716247.01754385966</v>
      </c>
      <c r="M45" s="37">
        <v>927860</v>
      </c>
      <c r="N45" s="78"/>
      <c r="O45" s="79">
        <v>540440</v>
      </c>
      <c r="P45" s="37">
        <v>0</v>
      </c>
      <c r="Q45" s="37">
        <v>1488842.8</v>
      </c>
      <c r="R45" s="47">
        <v>1689899.5</v>
      </c>
    </row>
    <row r="46" spans="1:18" s="32" customFormat="1" ht="18" hidden="1" customHeight="1" x14ac:dyDescent="0.25">
      <c r="A46" s="323" t="s">
        <v>44</v>
      </c>
      <c r="B46" s="324"/>
      <c r="C46" s="324"/>
      <c r="D46" s="324"/>
      <c r="E46" s="324"/>
      <c r="F46" s="39">
        <f>F47+F48+F49+F50+F51+F20+F53+F54+F55+F56+F57+F58+F59+F60+F40+F63+F62</f>
        <v>4296552</v>
      </c>
      <c r="G46" s="39">
        <f>G47+G48+G49+G50+G51+G20+G53+G28+G55+G31+G29+G58+G59+G60+G40+G63+G62</f>
        <v>5263016</v>
      </c>
      <c r="H46" s="39">
        <f>H47+H48+H49+H50+H51+H20+H53+H54+H55+H31+H29+H58+H59+H60+H40+H63+H62</f>
        <v>10163116</v>
      </c>
      <c r="I46" s="43"/>
      <c r="J46" s="39">
        <f>J47+J48+J49+J50+J51+J20+J53+J54+J55+J31+J29+J58+J59+J60+J40+J63+J62</f>
        <v>6347649.1228070166</v>
      </c>
      <c r="K46" s="39">
        <f>K47+K48+K49+K50+K51+K20+K53+K54+K55+K31+K29+K58+K59+K60+K40+K63+K62</f>
        <v>4344322.8070175434</v>
      </c>
      <c r="L46" s="39">
        <f>L47+L48+L49+L50+L51+L20+L53+L54+L55+L31+L29+L58+L59+L60+L40+L62+L63</f>
        <v>5998716.7337253382</v>
      </c>
      <c r="M46" s="39">
        <f>M47+M48+M49+M50+M51+M20+M53+M54+M55+M31+M29+M58+M59+M60+M40+M63+M62</f>
        <v>6597234.7368421052</v>
      </c>
      <c r="N46" s="107">
        <f>G47+G48+G49+G50+G51+G20+G53+G28+G55+G31+G29+G58+G59+G60+G40+G62+G63</f>
        <v>5263016</v>
      </c>
      <c r="O46" s="108"/>
      <c r="P46" s="39"/>
      <c r="Q46" s="39"/>
      <c r="R46" s="49"/>
    </row>
    <row r="47" spans="1:18" s="80" customFormat="1" ht="16.350000000000001" hidden="1" customHeight="1" x14ac:dyDescent="0.25">
      <c r="A47" s="81" t="s">
        <v>45</v>
      </c>
      <c r="B47" s="73" t="s">
        <v>33</v>
      </c>
      <c r="C47" s="74">
        <v>200000</v>
      </c>
      <c r="D47" s="69">
        <v>1101600</v>
      </c>
      <c r="E47" s="114" t="s">
        <v>13</v>
      </c>
      <c r="F47" s="76">
        <v>300000</v>
      </c>
      <c r="G47" s="51">
        <v>300000</v>
      </c>
      <c r="H47" s="37">
        <f>G47*2</f>
        <v>600000</v>
      </c>
      <c r="I47" s="77"/>
      <c r="J47" s="51">
        <f>943300/2.85</f>
        <v>330982.45614035084</v>
      </c>
      <c r="K47" s="37">
        <f t="shared" si="4"/>
        <v>165491.22807017542</v>
      </c>
      <c r="L47" s="63">
        <f>J47*94/100</f>
        <v>311123.50877192977</v>
      </c>
      <c r="M47" s="37">
        <v>403040</v>
      </c>
      <c r="N47" s="78"/>
      <c r="O47" s="79"/>
      <c r="P47" s="37"/>
      <c r="Q47" s="37"/>
      <c r="R47" s="47"/>
    </row>
    <row r="48" spans="1:18" s="80" customFormat="1" ht="16.350000000000001" hidden="1" customHeight="1" x14ac:dyDescent="0.25">
      <c r="A48" s="66" t="s">
        <v>14</v>
      </c>
      <c r="B48" s="73"/>
      <c r="C48" s="74"/>
      <c r="D48" s="69">
        <v>1101610</v>
      </c>
      <c r="E48" s="70" t="s">
        <v>15</v>
      </c>
      <c r="F48" s="76"/>
      <c r="G48" s="51">
        <v>342916</v>
      </c>
      <c r="H48" s="37">
        <v>142916</v>
      </c>
      <c r="I48" s="77"/>
      <c r="J48" s="51">
        <f>800000/2.85</f>
        <v>280701.75438596489</v>
      </c>
      <c r="K48" s="37">
        <f t="shared" si="4"/>
        <v>140350.87719298244</v>
      </c>
      <c r="L48" s="63">
        <f>J48*94/100</f>
        <v>263859.64912280702</v>
      </c>
      <c r="M48" s="37">
        <v>341820</v>
      </c>
      <c r="N48" s="78"/>
      <c r="O48" s="79"/>
      <c r="P48" s="37"/>
      <c r="Q48" s="37"/>
      <c r="R48" s="47"/>
    </row>
    <row r="49" spans="1:18" s="80" customFormat="1" ht="47.25" hidden="1" x14ac:dyDescent="0.25">
      <c r="A49" s="110" t="s">
        <v>46</v>
      </c>
      <c r="B49" s="73" t="s">
        <v>33</v>
      </c>
      <c r="C49" s="74">
        <v>150000</v>
      </c>
      <c r="D49" s="69">
        <v>1101620</v>
      </c>
      <c r="E49" s="115" t="s">
        <v>35</v>
      </c>
      <c r="F49" s="76">
        <v>300000</v>
      </c>
      <c r="G49" s="51">
        <v>300000</v>
      </c>
      <c r="H49" s="37">
        <f t="shared" ref="H49:H55" si="5">G49*2</f>
        <v>600000</v>
      </c>
      <c r="I49" s="77"/>
      <c r="J49" s="51">
        <f>1488000/2.85</f>
        <v>522105.26315789472</v>
      </c>
      <c r="K49" s="37">
        <f t="shared" si="4"/>
        <v>261052.63157894736</v>
      </c>
      <c r="L49" s="63">
        <f>J49*94/100</f>
        <v>490778.94736842101</v>
      </c>
      <c r="M49" s="37">
        <v>635800</v>
      </c>
      <c r="N49" s="78"/>
      <c r="O49" s="79"/>
      <c r="P49" s="37"/>
      <c r="Q49" s="37"/>
      <c r="R49" s="47"/>
    </row>
    <row r="50" spans="1:18" s="80" customFormat="1" ht="31.5" hidden="1" x14ac:dyDescent="0.25">
      <c r="A50" s="81" t="s">
        <v>47</v>
      </c>
      <c r="B50" s="73" t="s">
        <v>33</v>
      </c>
      <c r="C50" s="74">
        <v>150000</v>
      </c>
      <c r="D50" s="69">
        <v>1101650</v>
      </c>
      <c r="E50" s="111" t="s">
        <v>37</v>
      </c>
      <c r="F50" s="76">
        <v>650000</v>
      </c>
      <c r="G50" s="51">
        <v>414900</v>
      </c>
      <c r="H50" s="37">
        <f t="shared" si="5"/>
        <v>829800</v>
      </c>
      <c r="I50" s="77"/>
      <c r="J50" s="51">
        <f>500000/2.85</f>
        <v>175438.59649122806</v>
      </c>
      <c r="K50" s="37">
        <f t="shared" si="4"/>
        <v>87719.298245614031</v>
      </c>
      <c r="L50" s="63">
        <v>0</v>
      </c>
      <c r="M50" s="37">
        <f t="shared" ref="M50:M60" si="6">L50/2.2</f>
        <v>0</v>
      </c>
      <c r="N50" s="78"/>
      <c r="O50" s="79"/>
      <c r="P50" s="37"/>
      <c r="Q50" s="37"/>
      <c r="R50" s="47"/>
    </row>
    <row r="51" spans="1:18" s="80" customFormat="1" ht="31.5" hidden="1" x14ac:dyDescent="0.25">
      <c r="A51" s="83" t="s">
        <v>38</v>
      </c>
      <c r="B51" s="73" t="s">
        <v>33</v>
      </c>
      <c r="C51" s="74">
        <v>175000</v>
      </c>
      <c r="D51" s="69">
        <v>1101670</v>
      </c>
      <c r="E51" s="100" t="s">
        <v>39</v>
      </c>
      <c r="F51" s="76">
        <v>800000</v>
      </c>
      <c r="G51" s="51">
        <v>980000</v>
      </c>
      <c r="H51" s="37">
        <f t="shared" si="5"/>
        <v>1960000</v>
      </c>
      <c r="I51" s="77"/>
      <c r="J51" s="51">
        <f>899600/2.85</f>
        <v>315649.12280701753</v>
      </c>
      <c r="K51" s="37">
        <f t="shared" si="4"/>
        <v>157824.56140350876</v>
      </c>
      <c r="L51" s="63"/>
      <c r="M51" s="37">
        <f t="shared" si="6"/>
        <v>0</v>
      </c>
      <c r="N51" s="78"/>
      <c r="O51" s="79"/>
      <c r="P51" s="37"/>
      <c r="Q51" s="37"/>
      <c r="R51" s="47"/>
    </row>
    <row r="52" spans="1:18" s="31" customFormat="1" hidden="1" x14ac:dyDescent="0.25">
      <c r="A52" s="112"/>
      <c r="B52" s="35"/>
      <c r="C52" s="35"/>
      <c r="D52" s="35"/>
      <c r="E52" s="35"/>
      <c r="F52" s="113"/>
      <c r="G52" s="113"/>
      <c r="H52" s="35"/>
      <c r="I52" s="35"/>
      <c r="J52" s="35"/>
      <c r="K52" s="35"/>
      <c r="L52" s="35"/>
      <c r="M52" s="35"/>
      <c r="N52" s="35"/>
      <c r="O52" s="65"/>
      <c r="P52" s="36"/>
      <c r="Q52" s="36"/>
      <c r="R52" s="46"/>
    </row>
    <row r="53" spans="1:18" s="80" customFormat="1" ht="47.25" hidden="1" x14ac:dyDescent="0.25">
      <c r="A53" s="83" t="s">
        <v>50</v>
      </c>
      <c r="B53" s="73" t="s">
        <v>33</v>
      </c>
      <c r="C53" s="74">
        <v>15540</v>
      </c>
      <c r="D53" s="69">
        <v>2751600</v>
      </c>
      <c r="E53" s="82" t="s">
        <v>25</v>
      </c>
      <c r="F53" s="76">
        <v>130152</v>
      </c>
      <c r="G53" s="51">
        <v>130200</v>
      </c>
      <c r="H53" s="37">
        <f t="shared" si="5"/>
        <v>260400</v>
      </c>
      <c r="I53" s="77"/>
      <c r="J53" s="51">
        <f>230598/2.85</f>
        <v>80911.578947368413</v>
      </c>
      <c r="K53" s="37">
        <f t="shared" si="4"/>
        <v>40455.789473684206</v>
      </c>
      <c r="L53" s="63">
        <f>216762/2</f>
        <v>108381</v>
      </c>
      <c r="M53" s="37">
        <v>98500</v>
      </c>
      <c r="N53" s="78"/>
      <c r="O53" s="79"/>
      <c r="P53" s="37"/>
      <c r="Q53" s="37"/>
      <c r="R53" s="47"/>
    </row>
    <row r="54" spans="1:18" s="80" customFormat="1" ht="24" hidden="1" customHeight="1" x14ac:dyDescent="0.25">
      <c r="A54" s="325" t="s">
        <v>51</v>
      </c>
      <c r="B54" s="328" t="s">
        <v>33</v>
      </c>
      <c r="C54" s="331">
        <v>200000</v>
      </c>
      <c r="D54" s="77"/>
      <c r="E54" s="77"/>
      <c r="F54" s="105">
        <v>50000</v>
      </c>
      <c r="G54" s="77"/>
      <c r="H54" s="37">
        <f>G28*2</f>
        <v>800000</v>
      </c>
      <c r="I54" s="77"/>
      <c r="J54" s="51">
        <f>1521600/2.85</f>
        <v>533894.73684210528</v>
      </c>
      <c r="K54" s="37">
        <f t="shared" si="4"/>
        <v>266947.36842105264</v>
      </c>
      <c r="L54" s="63">
        <f>J54*94/100</f>
        <v>501861.05263157899</v>
      </c>
      <c r="M54" s="37">
        <v>650200</v>
      </c>
      <c r="N54" s="78"/>
      <c r="O54" s="79"/>
      <c r="P54" s="37"/>
      <c r="Q54" s="37"/>
      <c r="R54" s="47"/>
    </row>
    <row r="55" spans="1:18" s="80" customFormat="1" ht="31.9" hidden="1" customHeight="1" x14ac:dyDescent="0.25">
      <c r="A55" s="326"/>
      <c r="B55" s="329"/>
      <c r="C55" s="332"/>
      <c r="D55" s="15">
        <v>2751610</v>
      </c>
      <c r="E55" s="99" t="s">
        <v>26</v>
      </c>
      <c r="F55" s="105">
        <v>5000</v>
      </c>
      <c r="G55" s="51">
        <v>5000</v>
      </c>
      <c r="H55" s="37">
        <f t="shared" si="5"/>
        <v>10000</v>
      </c>
      <c r="I55" s="77"/>
      <c r="J55" s="51">
        <f>15000/2.85</f>
        <v>5263.1578947368416</v>
      </c>
      <c r="K55" s="37">
        <f t="shared" si="4"/>
        <v>2631.5789473684208</v>
      </c>
      <c r="L55" s="63">
        <f>J55*94/100</f>
        <v>4947.3684210526308</v>
      </c>
      <c r="M55" s="37">
        <v>6400</v>
      </c>
      <c r="N55" s="78"/>
      <c r="O55" s="79"/>
      <c r="P55" s="37"/>
      <c r="Q55" s="37"/>
      <c r="R55" s="47"/>
    </row>
    <row r="56" spans="1:18" s="80" customFormat="1" ht="36" hidden="1" customHeight="1" x14ac:dyDescent="0.25">
      <c r="A56" s="327"/>
      <c r="B56" s="330"/>
      <c r="C56" s="333"/>
      <c r="D56" s="77"/>
      <c r="E56" s="77"/>
      <c r="F56" s="105">
        <v>350000</v>
      </c>
      <c r="G56" s="77"/>
      <c r="H56" s="77"/>
      <c r="I56" s="77"/>
      <c r="J56" s="77"/>
      <c r="K56" s="77"/>
      <c r="L56" s="77"/>
      <c r="M56" s="77"/>
      <c r="N56" s="77"/>
      <c r="O56" s="79"/>
      <c r="P56" s="37"/>
      <c r="Q56" s="37"/>
      <c r="R56" s="47"/>
    </row>
    <row r="57" spans="1:18" s="80" customFormat="1" ht="31.9" hidden="1" customHeight="1" x14ac:dyDescent="0.25">
      <c r="A57" s="325" t="s">
        <v>54</v>
      </c>
      <c r="B57" s="328" t="s">
        <v>33</v>
      </c>
      <c r="C57" s="331">
        <v>400000</v>
      </c>
      <c r="D57" s="77"/>
      <c r="E57" s="77"/>
      <c r="F57" s="76">
        <v>400000</v>
      </c>
      <c r="G57" s="77"/>
      <c r="H57" s="77"/>
      <c r="I57" s="77"/>
      <c r="J57" s="77"/>
      <c r="K57" s="77"/>
      <c r="L57" s="77"/>
      <c r="M57" s="77"/>
      <c r="N57" s="77"/>
      <c r="O57" s="79"/>
      <c r="P57" s="37"/>
      <c r="Q57" s="37"/>
      <c r="R57" s="47"/>
    </row>
    <row r="58" spans="1:18" s="80" customFormat="1" ht="34.700000000000003" hidden="1" customHeight="1" x14ac:dyDescent="0.25">
      <c r="A58" s="327"/>
      <c r="B58" s="330"/>
      <c r="C58" s="333"/>
      <c r="D58" s="69">
        <v>2751610</v>
      </c>
      <c r="E58" s="100" t="s">
        <v>26</v>
      </c>
      <c r="F58" s="76">
        <v>10000</v>
      </c>
      <c r="G58" s="51">
        <v>10000</v>
      </c>
      <c r="H58" s="37">
        <v>11000</v>
      </c>
      <c r="I58" s="77"/>
      <c r="J58" s="51">
        <f>12000/2.85</f>
        <v>4210.5263157894733</v>
      </c>
      <c r="K58" s="37">
        <v>12000</v>
      </c>
      <c r="L58" s="63">
        <f>J58*94/100</f>
        <v>3957.894736842105</v>
      </c>
      <c r="M58" s="37">
        <v>5130</v>
      </c>
      <c r="N58" s="78"/>
      <c r="O58" s="79"/>
      <c r="P58" s="37"/>
      <c r="Q58" s="37"/>
      <c r="R58" s="47"/>
    </row>
    <row r="59" spans="1:18" s="80" customFormat="1" ht="37.15" hidden="1" customHeight="1" x14ac:dyDescent="0.25">
      <c r="A59" s="83" t="s">
        <v>56</v>
      </c>
      <c r="B59" s="73" t="s">
        <v>33</v>
      </c>
      <c r="C59" s="74">
        <v>450000</v>
      </c>
      <c r="D59" s="69">
        <v>3111600</v>
      </c>
      <c r="E59" s="100" t="s">
        <v>29</v>
      </c>
      <c r="F59" s="76">
        <v>745000</v>
      </c>
      <c r="G59" s="51">
        <v>700000</v>
      </c>
      <c r="H59" s="37">
        <v>1389000</v>
      </c>
      <c r="I59" s="77"/>
      <c r="J59" s="51">
        <f>993100/2.85</f>
        <v>348456.14035087719</v>
      </c>
      <c r="K59" s="37">
        <f t="shared" si="4"/>
        <v>174228.0701754386</v>
      </c>
      <c r="L59" s="63">
        <f>1900000/2.52</f>
        <v>753968.25396825396</v>
      </c>
      <c r="M59" s="37">
        <v>863640</v>
      </c>
      <c r="N59" s="78"/>
      <c r="O59" s="79"/>
      <c r="P59" s="37"/>
      <c r="Q59" s="37"/>
      <c r="R59" s="47"/>
    </row>
    <row r="60" spans="1:18" s="80" customFormat="1" ht="35.450000000000003" hidden="1" customHeight="1" x14ac:dyDescent="0.25">
      <c r="A60" s="83" t="s">
        <v>41</v>
      </c>
      <c r="B60" s="73" t="s">
        <v>33</v>
      </c>
      <c r="C60" s="74">
        <v>400000</v>
      </c>
      <c r="D60" s="69">
        <v>3111600</v>
      </c>
      <c r="E60" s="100" t="s">
        <v>29</v>
      </c>
      <c r="F60" s="76">
        <v>190000</v>
      </c>
      <c r="G60" s="51">
        <v>400000</v>
      </c>
      <c r="H60" s="37">
        <f>G60*2</f>
        <v>800000</v>
      </c>
      <c r="I60" s="77"/>
      <c r="J60" s="51">
        <f>1821600/2.85</f>
        <v>639157.89473684214</v>
      </c>
      <c r="K60" s="37">
        <f t="shared" si="4"/>
        <v>319578.94736842107</v>
      </c>
      <c r="L60" s="63">
        <f>J60*94/100</f>
        <v>600808.42105263157</v>
      </c>
      <c r="M60" s="37">
        <f t="shared" si="6"/>
        <v>273094.73684210522</v>
      </c>
      <c r="N60" s="78"/>
      <c r="O60" s="79"/>
      <c r="P60" s="37"/>
      <c r="Q60" s="37"/>
      <c r="R60" s="47"/>
    </row>
    <row r="61" spans="1:18" s="31" customFormat="1" hidden="1" x14ac:dyDescent="0.25">
      <c r="A61" s="112"/>
      <c r="B61" s="35"/>
      <c r="C61" s="35"/>
      <c r="D61" s="35"/>
      <c r="E61" s="35"/>
      <c r="F61" s="113"/>
      <c r="G61" s="113"/>
      <c r="H61" s="35"/>
      <c r="I61" s="35"/>
      <c r="J61" s="35"/>
      <c r="K61" s="35"/>
      <c r="L61" s="35"/>
      <c r="M61" s="35"/>
      <c r="N61" s="35"/>
      <c r="O61" s="65"/>
      <c r="P61" s="36"/>
      <c r="Q61" s="36"/>
      <c r="R61" s="46"/>
    </row>
    <row r="62" spans="1:18" s="80" customFormat="1" ht="24" hidden="1" customHeight="1" x14ac:dyDescent="0.25">
      <c r="A62" s="50" t="s">
        <v>81</v>
      </c>
      <c r="B62" s="73"/>
      <c r="C62" s="74"/>
      <c r="D62" s="69">
        <v>3511620</v>
      </c>
      <c r="E62" s="111" t="s">
        <v>58</v>
      </c>
      <c r="F62" s="76"/>
      <c r="G62" s="51">
        <v>100000</v>
      </c>
      <c r="H62" s="37">
        <v>400000</v>
      </c>
      <c r="I62" s="77"/>
      <c r="J62" s="51">
        <f>2000000/2.85</f>
        <v>701754.38596491225</v>
      </c>
      <c r="K62" s="37">
        <f t="shared" si="4"/>
        <v>350877.19298245612</v>
      </c>
      <c r="L62" s="63">
        <f>J62*94/100</f>
        <v>659649.12280701753</v>
      </c>
      <c r="M62" s="37">
        <v>854540</v>
      </c>
      <c r="N62" s="78"/>
      <c r="O62" s="79"/>
      <c r="P62" s="37"/>
      <c r="Q62" s="37"/>
      <c r="R62" s="47"/>
    </row>
    <row r="63" spans="1:18" s="80" customFormat="1" ht="36" hidden="1" customHeight="1" x14ac:dyDescent="0.25">
      <c r="A63" s="81" t="s">
        <v>42</v>
      </c>
      <c r="B63" s="73" t="s">
        <v>33</v>
      </c>
      <c r="C63" s="74">
        <v>152000</v>
      </c>
      <c r="D63" s="69">
        <v>3511670</v>
      </c>
      <c r="E63" s="84" t="s">
        <v>43</v>
      </c>
      <c r="F63" s="76">
        <v>146400</v>
      </c>
      <c r="G63" s="51">
        <v>400000</v>
      </c>
      <c r="H63" s="37">
        <f>G63*2</f>
        <v>800000</v>
      </c>
      <c r="I63" s="77"/>
      <c r="J63" s="51">
        <f>2071602/2.85</f>
        <v>726877.89473684214</v>
      </c>
      <c r="K63" s="37">
        <f t="shared" si="4"/>
        <v>363438.94736842107</v>
      </c>
      <c r="L63" s="63">
        <f>1947305/2</f>
        <v>973652.5</v>
      </c>
      <c r="M63" s="37">
        <v>885130</v>
      </c>
      <c r="N63" s="78"/>
      <c r="O63" s="79"/>
      <c r="P63" s="37"/>
      <c r="Q63" s="37"/>
      <c r="R63" s="47"/>
    </row>
    <row r="64" spans="1:18" s="32" customFormat="1" hidden="1" x14ac:dyDescent="0.25">
      <c r="A64" s="323" t="s">
        <v>59</v>
      </c>
      <c r="B64" s="324"/>
      <c r="C64" s="324"/>
      <c r="D64" s="324"/>
      <c r="E64" s="324"/>
      <c r="F64" s="39">
        <f>F18+F19+F67+F30+F32+F70</f>
        <v>1217600</v>
      </c>
      <c r="G64" s="39">
        <f>G18+G19+G67+G30+G32+G70</f>
        <v>1482684</v>
      </c>
      <c r="H64" s="39">
        <f>H18+H19+H67+H30+H32+H70</f>
        <v>2240000</v>
      </c>
      <c r="I64" s="43"/>
      <c r="J64" s="39">
        <f>J18+J19+J67+J30+J32+J70</f>
        <v>702807.01754385966</v>
      </c>
      <c r="K64" s="39">
        <f>K18+K19+K67+K30+K32+K70</f>
        <v>351403.50877192983</v>
      </c>
      <c r="L64" s="39">
        <f>L18+L19+L67+L30+L32+L70</f>
        <v>330319.29824561399</v>
      </c>
      <c r="M64" s="39">
        <f>M18+M19+M67+M30+M32+M70</f>
        <v>886044</v>
      </c>
      <c r="N64" s="107">
        <f>G18+G19+G67+G30+G32+G70</f>
        <v>1482684</v>
      </c>
      <c r="O64" s="108"/>
      <c r="P64" s="39"/>
      <c r="Q64" s="39"/>
      <c r="R64" s="49"/>
    </row>
    <row r="65" spans="1:18" s="31" customFormat="1" hidden="1" x14ac:dyDescent="0.25">
      <c r="A65" s="112"/>
      <c r="B65" s="35"/>
      <c r="C65" s="35"/>
      <c r="D65" s="35"/>
      <c r="E65" s="35"/>
      <c r="F65" s="113"/>
      <c r="G65" s="113"/>
      <c r="H65" s="35"/>
      <c r="I65" s="35"/>
      <c r="J65" s="35"/>
      <c r="K65" s="35"/>
      <c r="L65" s="35"/>
      <c r="M65" s="35"/>
      <c r="N65" s="35"/>
      <c r="O65" s="65"/>
      <c r="P65" s="36"/>
      <c r="Q65" s="36"/>
      <c r="R65" s="46"/>
    </row>
    <row r="66" spans="1:18" s="31" customFormat="1" hidden="1" x14ac:dyDescent="0.25">
      <c r="A66" s="112"/>
      <c r="B66" s="35"/>
      <c r="C66" s="35"/>
      <c r="D66" s="35"/>
      <c r="E66" s="35"/>
      <c r="F66" s="113"/>
      <c r="G66" s="113"/>
      <c r="H66" s="35"/>
      <c r="I66" s="35"/>
      <c r="J66" s="35"/>
      <c r="K66" s="35"/>
      <c r="L66" s="35"/>
      <c r="M66" s="35"/>
      <c r="N66" s="35"/>
      <c r="O66" s="65"/>
      <c r="P66" s="36"/>
      <c r="Q66" s="36"/>
      <c r="R66" s="46"/>
    </row>
    <row r="67" spans="1:18" s="80" customFormat="1" ht="50.45" hidden="1" customHeight="1" x14ac:dyDescent="0.25">
      <c r="A67" s="110" t="s">
        <v>64</v>
      </c>
      <c r="B67" s="73" t="s">
        <v>33</v>
      </c>
      <c r="C67" s="74">
        <v>17000</v>
      </c>
      <c r="D67" s="69">
        <v>2751600</v>
      </c>
      <c r="E67" s="82" t="s">
        <v>25</v>
      </c>
      <c r="F67" s="76">
        <v>139000</v>
      </c>
      <c r="G67" s="51">
        <v>170000</v>
      </c>
      <c r="H67" s="37">
        <f>G67*2</f>
        <v>340000</v>
      </c>
      <c r="I67" s="77"/>
      <c r="J67" s="51">
        <f>128200/2.85</f>
        <v>44982.456140350878</v>
      </c>
      <c r="K67" s="37">
        <f t="shared" si="4"/>
        <v>22491.228070175439</v>
      </c>
      <c r="L67" s="63">
        <f t="shared" ref="L67:L70" si="7">J67*94/100/2</f>
        <v>21141.754385964912</v>
      </c>
      <c r="M67" s="37">
        <v>87722</v>
      </c>
      <c r="N67" s="78"/>
      <c r="O67" s="79"/>
      <c r="P67" s="37"/>
      <c r="Q67" s="37"/>
      <c r="R67" s="47"/>
    </row>
    <row r="68" spans="1:18" s="31" customFormat="1" hidden="1" x14ac:dyDescent="0.25">
      <c r="A68" s="112"/>
      <c r="B68" s="35"/>
      <c r="C68" s="35"/>
      <c r="D68" s="35"/>
      <c r="E68" s="35"/>
      <c r="F68" s="113"/>
      <c r="G68" s="113"/>
      <c r="H68" s="35"/>
      <c r="I68" s="35"/>
      <c r="J68" s="35"/>
      <c r="K68" s="35"/>
      <c r="L68" s="35"/>
      <c r="M68" s="35"/>
      <c r="N68" s="35"/>
      <c r="O68" s="65"/>
      <c r="P68" s="36"/>
      <c r="Q68" s="36"/>
      <c r="R68" s="46"/>
    </row>
    <row r="69" spans="1:18" s="31" customFormat="1" hidden="1" x14ac:dyDescent="0.25">
      <c r="A69" s="112"/>
      <c r="B69" s="35"/>
      <c r="C69" s="35"/>
      <c r="D69" s="35"/>
      <c r="E69" s="35"/>
      <c r="F69" s="113"/>
      <c r="G69" s="113"/>
      <c r="H69" s="35"/>
      <c r="I69" s="35"/>
      <c r="J69" s="35"/>
      <c r="K69" s="35"/>
      <c r="L69" s="35"/>
      <c r="M69" s="35"/>
      <c r="N69" s="35"/>
      <c r="O69" s="65"/>
      <c r="P69" s="36"/>
      <c r="Q69" s="36"/>
      <c r="R69" s="46"/>
    </row>
    <row r="70" spans="1:18" s="80" customFormat="1" ht="19.149999999999999" hidden="1" customHeight="1" x14ac:dyDescent="0.25">
      <c r="A70" s="116" t="s">
        <v>69</v>
      </c>
      <c r="B70" s="73" t="s">
        <v>33</v>
      </c>
      <c r="C70" s="74">
        <v>10000</v>
      </c>
      <c r="D70" s="85">
        <v>3511620</v>
      </c>
      <c r="E70" s="111" t="s">
        <v>58</v>
      </c>
      <c r="F70" s="76">
        <v>81600</v>
      </c>
      <c r="G70" s="51">
        <v>50000</v>
      </c>
      <c r="H70" s="37">
        <v>100000</v>
      </c>
      <c r="I70" s="77"/>
      <c r="J70" s="51">
        <f>100000/2.85</f>
        <v>35087.719298245611</v>
      </c>
      <c r="K70" s="37">
        <f t="shared" si="4"/>
        <v>17543.859649122805</v>
      </c>
      <c r="L70" s="63">
        <f t="shared" si="7"/>
        <v>16491.228070175439</v>
      </c>
      <c r="M70" s="37">
        <v>40000</v>
      </c>
      <c r="N70" s="78"/>
      <c r="O70" s="79"/>
      <c r="P70" s="37"/>
      <c r="Q70" s="37"/>
      <c r="R70" s="47"/>
    </row>
    <row r="71" spans="1:18" s="80" customFormat="1" ht="26.45" hidden="1" customHeight="1" x14ac:dyDescent="0.25">
      <c r="A71" s="347" t="s">
        <v>70</v>
      </c>
      <c r="B71" s="348"/>
      <c r="C71" s="348"/>
      <c r="D71" s="348"/>
      <c r="E71" s="348"/>
      <c r="F71" s="348"/>
      <c r="G71" s="348"/>
      <c r="H71" s="348"/>
      <c r="I71" s="348"/>
      <c r="J71" s="348"/>
      <c r="K71" s="348"/>
      <c r="L71" s="348"/>
      <c r="M71" s="349"/>
      <c r="N71" s="117"/>
      <c r="O71" s="79"/>
      <c r="P71" s="37"/>
      <c r="Q71" s="37"/>
      <c r="R71" s="47"/>
    </row>
    <row r="72" spans="1:18" s="80" customFormat="1" ht="52.15" hidden="1" customHeight="1" x14ac:dyDescent="0.25">
      <c r="A72" s="118" t="s">
        <v>71</v>
      </c>
      <c r="B72" s="73" t="s">
        <v>33</v>
      </c>
      <c r="C72" s="74">
        <v>100000</v>
      </c>
      <c r="D72" s="85">
        <v>3511620</v>
      </c>
      <c r="E72" s="111" t="s">
        <v>58</v>
      </c>
      <c r="F72" s="119">
        <v>10000</v>
      </c>
      <c r="G72" s="120">
        <v>100000</v>
      </c>
      <c r="H72" s="120">
        <f>G72*2</f>
        <v>200000</v>
      </c>
      <c r="I72" s="77"/>
      <c r="J72" s="120">
        <f>500000/2.85-17543.86</f>
        <v>157894.73649122805</v>
      </c>
      <c r="K72" s="120">
        <f t="shared" si="4"/>
        <v>78947.368245614023</v>
      </c>
      <c r="L72" s="120">
        <f>500000/2.52</f>
        <v>198412.6984126984</v>
      </c>
      <c r="M72" s="120">
        <v>213636</v>
      </c>
      <c r="N72" s="121"/>
      <c r="O72" s="79"/>
      <c r="P72" s="37"/>
      <c r="Q72" s="37"/>
      <c r="R72" s="47"/>
    </row>
    <row r="73" spans="1:18" s="80" customFormat="1" ht="22.9" hidden="1" customHeight="1" x14ac:dyDescent="0.25">
      <c r="A73" s="350" t="s">
        <v>72</v>
      </c>
      <c r="B73" s="351"/>
      <c r="C73" s="351"/>
      <c r="D73" s="351"/>
      <c r="E73" s="351"/>
      <c r="F73" s="351"/>
      <c r="G73" s="351"/>
      <c r="H73" s="351"/>
      <c r="I73" s="351"/>
      <c r="J73" s="351"/>
      <c r="K73" s="351"/>
      <c r="L73" s="351"/>
      <c r="M73" s="352"/>
      <c r="N73" s="122"/>
      <c r="O73" s="79"/>
      <c r="P73" s="37"/>
      <c r="Q73" s="37"/>
      <c r="R73" s="47"/>
    </row>
    <row r="74" spans="1:18" s="80" customFormat="1" ht="54.75" hidden="1" customHeight="1" x14ac:dyDescent="0.25">
      <c r="A74" s="118" t="s">
        <v>73</v>
      </c>
      <c r="B74" s="102" t="s">
        <v>74</v>
      </c>
      <c r="C74" s="103">
        <v>108193</v>
      </c>
      <c r="D74" s="85">
        <v>3511620</v>
      </c>
      <c r="E74" s="111" t="s">
        <v>58</v>
      </c>
      <c r="F74" s="119">
        <v>21000</v>
      </c>
      <c r="G74" s="120">
        <v>100000</v>
      </c>
      <c r="H74" s="120">
        <f>G74*2</f>
        <v>200000</v>
      </c>
      <c r="I74" s="77"/>
      <c r="J74" s="120">
        <f>1500000/2.85</f>
        <v>526315.78947368416</v>
      </c>
      <c r="K74" s="120">
        <f t="shared" si="4"/>
        <v>263157.89473684208</v>
      </c>
      <c r="L74" s="120">
        <f>1500000/2.52-482.62</f>
        <v>594755.47523809527</v>
      </c>
      <c r="M74" s="120">
        <v>640909</v>
      </c>
      <c r="N74" s="121"/>
      <c r="O74" s="79"/>
      <c r="P74" s="37"/>
      <c r="Q74" s="37"/>
      <c r="R74" s="47"/>
    </row>
    <row r="75" spans="1:18" s="80" customFormat="1" hidden="1" x14ac:dyDescent="0.25">
      <c r="A75" s="118"/>
      <c r="B75" s="102"/>
      <c r="C75" s="103"/>
      <c r="D75" s="123"/>
      <c r="E75" s="124"/>
      <c r="F75" s="125"/>
      <c r="G75" s="126">
        <f>G74+G72+G64+G46+G36+G6</f>
        <v>16000000</v>
      </c>
      <c r="H75" s="126">
        <f>H74+H72+H64+H46+H36+H6</f>
        <v>30000000</v>
      </c>
      <c r="I75" s="126">
        <f>G74+G72+G64+G46+G36+G6</f>
        <v>16000000</v>
      </c>
      <c r="J75" s="126">
        <f>J74+J72+J64+J46+J36+J6</f>
        <v>16999999.999649122</v>
      </c>
      <c r="K75" s="126">
        <f>K74+K72+K64+K46+K36+K6</f>
        <v>10307845.578771928</v>
      </c>
      <c r="L75" s="126">
        <f>L74+L72+L64+L46+L36+L6</f>
        <v>17999999.995095428</v>
      </c>
      <c r="M75" s="126">
        <f>M74+M72+M64+M46+M36+M6</f>
        <v>16737176.421052631</v>
      </c>
      <c r="N75" s="78">
        <f>G74+G72+N64+N46+N36+N6</f>
        <v>16000000</v>
      </c>
      <c r="O75" s="127">
        <f>O32+O30+O19+O18+O40+O29+O28+O20+O45+O17+O16+O13+O34+O25+O24+O23+O22+O21+O15+O11+O10+O31</f>
        <v>15911402.1</v>
      </c>
      <c r="P75" s="126"/>
      <c r="Q75" s="126"/>
      <c r="R75" s="128"/>
    </row>
    <row r="76" spans="1:18" s="142" customFormat="1" ht="21.75" customHeight="1" thickBot="1" x14ac:dyDescent="0.3">
      <c r="A76" s="131"/>
      <c r="B76" s="132"/>
      <c r="C76" s="133"/>
      <c r="D76" s="134"/>
      <c r="E76" s="135" t="s">
        <v>75</v>
      </c>
      <c r="F76" s="136">
        <f>F7+F8+F10+F12+F15+F11+F21+F22+F23+F24+F25+F26+F27+F34+F35+F37+F13+F16+F17+F43+F44+F45+F47+F49+F50+F51+F53+F54+F55+F57+F58+F59+F60+F40+F63+F19+F18+F67+F30+F32+F70+F72+F74+F20+F56</f>
        <v>15000000</v>
      </c>
      <c r="G76" s="137">
        <v>16000000</v>
      </c>
      <c r="H76" s="138">
        <v>30000000</v>
      </c>
      <c r="I76" s="139"/>
      <c r="J76" s="137">
        <v>17000000</v>
      </c>
      <c r="K76" s="137"/>
      <c r="L76" s="137">
        <v>18000000</v>
      </c>
      <c r="M76" s="137">
        <v>20000000</v>
      </c>
      <c r="N76" s="140"/>
      <c r="O76" s="141">
        <f>O45+O40+O39+O34+O33+O32+O31+O30+O29+O28+O25+O24+O23+O22+O21+O20+O19+O18+O17+O16+O15+O14+O13+O11+O10+O9</f>
        <v>16000000</v>
      </c>
      <c r="P76" s="141">
        <f>P45+P40+P39+P34+P33+P32+P31+P30+P29+P28+P25+P24+P23+P22+P21+P20+P19+P18+P17+P16+P15+P14+P13+P11+P10</f>
        <v>9789502.3000000007</v>
      </c>
      <c r="Q76" s="141">
        <f>Q45+Q40+Q39+Q34+Q33+Q32+Q31+Q30+Q29+Q28+Q25+Q24+Q23+Q22+Q21+Q20+Q19+Q18+Q17+Q16+Q15+Q14+Q13+Q11+Q10</f>
        <v>17000000</v>
      </c>
      <c r="R76" s="141">
        <f>R45+R40+R39+R34+R33+R32+R31+R30+R29+R28+R25+R24+R23+R22+R21+R20+R19+R18+R17+R16+R15+R14+R13+R11+R10</f>
        <v>18000000</v>
      </c>
    </row>
    <row r="77" spans="1:18" ht="24" customHeight="1" x14ac:dyDescent="0.25">
      <c r="A77" s="344"/>
      <c r="B77" s="344"/>
      <c r="C77" s="344"/>
      <c r="D77" s="344"/>
      <c r="E77" s="344"/>
      <c r="H77" s="30">
        <f>H76-H75</f>
        <v>0</v>
      </c>
      <c r="I77" s="30">
        <f>G76-I75</f>
        <v>0</v>
      </c>
      <c r="J77" s="30"/>
      <c r="K77" s="30"/>
      <c r="L77" s="30"/>
      <c r="M77" s="30">
        <f t="shared" ref="M77" si="8">M76-M75</f>
        <v>3262823.578947369</v>
      </c>
      <c r="N77" s="30"/>
    </row>
    <row r="78" spans="1:18" x14ac:dyDescent="0.25">
      <c r="I78" s="30"/>
      <c r="M78" s="30"/>
      <c r="N78" s="30"/>
      <c r="Q78" s="30">
        <f>Q9+Q10+Q11+Q13+Q14+Q15+Q16+Q17+Q18+Q19+Q20+Q21+Q22+Q23+Q24+Q25+Q28+Q29+Q30+Q31+Q32+Q33+Q34+Q39+Q40+Q45</f>
        <v>17000000.000000004</v>
      </c>
      <c r="R78" s="30">
        <f>R9+R10+R11+R13+R14+R15+R16+R17+R18+R19+R20+R21+R22+R23+R24+R25+R28+R29+R30+R31+R32+R33+R34+R39+R40+R45</f>
        <v>18000000</v>
      </c>
    </row>
    <row r="79" spans="1:18" x14ac:dyDescent="0.25">
      <c r="L79" s="30"/>
    </row>
    <row r="82" spans="10:10" x14ac:dyDescent="0.25">
      <c r="J82" s="30"/>
    </row>
  </sheetData>
  <mergeCells count="39">
    <mergeCell ref="P4:P5"/>
    <mergeCell ref="Q4:Q5"/>
    <mergeCell ref="R4:R5"/>
    <mergeCell ref="A3:R3"/>
    <mergeCell ref="A77:E77"/>
    <mergeCell ref="O4:O5"/>
    <mergeCell ref="A57:A58"/>
    <mergeCell ref="B57:B58"/>
    <mergeCell ref="C57:C58"/>
    <mergeCell ref="A64:E64"/>
    <mergeCell ref="A71:M71"/>
    <mergeCell ref="A73:M73"/>
    <mergeCell ref="A26:A27"/>
    <mergeCell ref="B26:B27"/>
    <mergeCell ref="C26:C27"/>
    <mergeCell ref="A36:E36"/>
    <mergeCell ref="A46:E46"/>
    <mergeCell ref="A54:A56"/>
    <mergeCell ref="B54:B56"/>
    <mergeCell ref="C54:C56"/>
    <mergeCell ref="A21:A22"/>
    <mergeCell ref="B21:B22"/>
    <mergeCell ref="C21:C22"/>
    <mergeCell ref="A24:A25"/>
    <mergeCell ref="B24:B25"/>
    <mergeCell ref="C24:C25"/>
    <mergeCell ref="G4:H4"/>
    <mergeCell ref="J4:K4"/>
    <mergeCell ref="L4:M4"/>
    <mergeCell ref="A6:E6"/>
    <mergeCell ref="A7:A8"/>
    <mergeCell ref="B7:B8"/>
    <mergeCell ref="C7:C8"/>
    <mergeCell ref="E1:F1"/>
    <mergeCell ref="E2:F2"/>
    <mergeCell ref="A4:A5"/>
    <mergeCell ref="D4:D5"/>
    <mergeCell ref="E4:E5"/>
    <mergeCell ref="F4:F5"/>
  </mergeCells>
  <pageMargins left="0.11811023622047245" right="0.11811023622047245" top="0.19685039370078741" bottom="0.11811023622047245" header="0.11811023622047245" footer="0"/>
  <pageSetup paperSize="9" scale="70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cedc1b3-a6a6-4744-bb8f-c9b717f8a9c9">MFWF-331-48727</_dlc_DocId>
    <_dlc_DocIdUrl xmlns="acedc1b3-a6a6-4744-bb8f-c9b717f8a9c9">
      <Url>http://workflow/04000/04110/_layouts/DocIdRedir.aspx?ID=MFWF-331-48727</Url>
      <Description>MFWF-331-48727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ADA62A-3EE8-413C-859E-F5D786948C5C}"/>
</file>

<file path=customXml/itemProps2.xml><?xml version="1.0" encoding="utf-8"?>
<ds:datastoreItem xmlns:ds="http://schemas.openxmlformats.org/officeDocument/2006/customXml" ds:itemID="{7C4BC2E8-46DB-4DD8-8325-1DD99BE7DFCC}"/>
</file>

<file path=customXml/itemProps3.xml><?xml version="1.0" encoding="utf-8"?>
<ds:datastoreItem xmlns:ds="http://schemas.openxmlformats.org/officeDocument/2006/customXml" ds:itemID="{488A3E10-F237-4D7F-8C9C-FB42E0752EE8}"/>
</file>

<file path=customXml/itemProps4.xml><?xml version="1.0" encoding="utf-8"?>
<ds:datastoreItem xmlns:ds="http://schemas.openxmlformats.org/officeDocument/2006/customXml" ds:itemID="{9D10F4D1-E8C8-4428-B255-B4FEAE86B4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dod9</vt:lpstr>
      <vt:lpstr>кпквк</vt:lpstr>
      <vt:lpstr>'dod9'!Заголовки_для_друку</vt:lpstr>
      <vt:lpstr>кпквк!Заголовки_для_друку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yushchuk</cp:lastModifiedBy>
  <cp:lastPrinted>2016-09-15T11:04:02Z</cp:lastPrinted>
  <dcterms:created xsi:type="dcterms:W3CDTF">2016-03-22T09:26:03Z</dcterms:created>
  <dcterms:modified xsi:type="dcterms:W3CDTF">2016-09-15T11:04:05Z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cafb8a90-11d3-43c0-a0f0-362b0f4a826e</vt:lpwstr>
  </property>
  <property fmtid="{D5CDD505-2E9C-101B-9397-08002B2CF9AE}" pid="3" name="ContentTypeId">
    <vt:lpwstr>0x01010051DC89FFDAC4684DB262DCE45F8F3961</vt:lpwstr>
  </property>
</Properties>
</file>